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Sweep" sheetId="2" state="visible" r:id="rId4"/>
    <sheet name="Breakeven Table" sheetId="3" state="visible" r:id="rId5"/>
    <sheet name="Tax Tabl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<sst xmlns="http://schemas.openxmlformats.org/spreadsheetml/2006/main" count="154" uniqueCount="133">
  <si>
    <t xml:space="preserve">Salary vs Director Fee vs Dividend / Retained Earnings — Singapore, 100% owner-director</t>
  </si>
  <si>
    <t xml:space="preserve">Edit the yellow cells (blue text). Everything else is calculated. The "Optimal" column is found by the Sweep sheet.</t>
  </si>
  <si>
    <t xml:space="preserve">INPUTS</t>
  </si>
  <si>
    <t xml:space="preserve">Company profit before paying the owner ($/yr)</t>
  </si>
  <si>
    <t xml:space="preserve">Net profit after all other expenses, before any salary/fee/CPF for the owner.</t>
  </si>
  <si>
    <t xml:space="preserve">Owner is SC/PR, so salary attracts CPF? (Yes/No)</t>
  </si>
  <si>
    <t xml:space="preserve">Yes</t>
  </si>
  <si>
    <t xml:space="preserve">Salary paid to a Singapore Citizen / PR employee attracts CPF. Director fees never attract CPF. Foreigners: set No.</t>
  </si>
  <si>
    <t xml:space="preserve">CPF employee rate</t>
  </si>
  <si>
    <t xml:space="preserve">Age 55 and below: 20%. Older age bands are lower — check CPF Board table.</t>
  </si>
  <si>
    <t xml:space="preserve">CPF employer rate</t>
  </si>
  <si>
    <t xml:space="preserve">Age 55 and below: 17%.</t>
  </si>
  <si>
    <t xml:space="preserve">How much is $1 in CPF worth to the owner vs $1 cash? (0–100%)</t>
  </si>
  <si>
    <t xml:space="preserve">CPF is locked until retirement/housing use. 100% = treat as cash. Salary only beats director fees if this is roughly 85–95%+.</t>
  </si>
  <si>
    <t xml:space="preserve">Company in first 3 YAs &amp; qualifies for start-up exemption? (Yes/No)</t>
  </si>
  <si>
    <t xml:space="preserve">No</t>
  </si>
  <si>
    <t xml:space="preserve">IRAS Start-Up Tax Exemption.</t>
  </si>
  <si>
    <t xml:space="preserve">Corporate income tax rebate % (if announced for the YA)</t>
  </si>
  <si>
    <t xml:space="preserve">Budget-dependent. YA2025 was 50% capped at $40k. Leave 0 unless announced for your YA.</t>
  </si>
  <si>
    <t xml:space="preserve">Corporate rebate cap ($)</t>
  </si>
  <si>
    <t xml:space="preserve">Earned income relief ($)</t>
  </si>
  <si>
    <t xml:space="preserve">$1,000 below age 55; $6,000 age 55–59; $8,000 age 60+.</t>
  </si>
  <si>
    <t xml:space="preserve">Other personal reliefs ($) e.g. spouse, child, SRS</t>
  </si>
  <si>
    <t xml:space="preserve">SRS top-ups (up to $15,300 for SC/PR) reduce tax further.</t>
  </si>
  <si>
    <t xml:space="preserve">Dividend payout % of after-tax profit (rest retained)</t>
  </si>
  <si>
    <t xml:space="preserve">One-tier dividends are tax-free to the shareholder, so this changes cash timing only, not tax.</t>
  </si>
  <si>
    <t xml:space="preserve">YOUR PLAN: salary ($/yr)</t>
  </si>
  <si>
    <t xml:space="preserve">Try your own mix here.</t>
  </si>
  <si>
    <t xml:space="preserve">YOUR PLAN: director fee ($/yr)</t>
  </si>
  <si>
    <t xml:space="preserve">Director fees need shareholder approval (AGM/written resolution).</t>
  </si>
  <si>
    <t xml:space="preserve">RESULTS ($/yr)</t>
  </si>
  <si>
    <t xml:space="preserve">Pay nothing
(all dividend / retained)</t>
  </si>
  <si>
    <t xml:space="preserve">Your plan</t>
  </si>
  <si>
    <t xml:space="preserve">Optimal
(lowest tax, max value)</t>
  </si>
  <si>
    <t xml:space="preserve">Salary</t>
  </si>
  <si>
    <t xml:space="preserve">Director fee</t>
  </si>
  <si>
    <t xml:space="preserve">CPF-able wages</t>
  </si>
  <si>
    <t xml:space="preserve">CPF — employee share (from salary)</t>
  </si>
  <si>
    <t xml:space="preserve">CPF — employer share (company cost)</t>
  </si>
  <si>
    <t xml:space="preserve">SDL (company cost)</t>
  </si>
  <si>
    <t xml:space="preserve">Company taxable profit</t>
  </si>
  <si>
    <t xml:space="preserve">Valid? (pay must not exceed profit)</t>
  </si>
  <si>
    <t xml:space="preserve">Corporate tax before rebate</t>
  </si>
  <si>
    <t xml:space="preserve">Corporate rebate</t>
  </si>
  <si>
    <t xml:space="preserve">Corporate tax</t>
  </si>
  <si>
    <t xml:space="preserve">Company after-tax profit</t>
  </si>
  <si>
    <t xml:space="preserve">Dividend paid (tax-free, one-tier)</t>
  </si>
  <si>
    <t xml:space="preserve">Retained earnings</t>
  </si>
  <si>
    <t xml:space="preserve">Personal reliefs</t>
  </si>
  <si>
    <t xml:space="preserve">Personal chargeable income</t>
  </si>
  <si>
    <t xml:space="preserve">Personal income tax</t>
  </si>
  <si>
    <t xml:space="preserve">Take-home pay (salary − employee CPF + fee − personal tax)</t>
  </si>
  <si>
    <t xml:space="preserve">CASH TO OWNER (take-home + dividend)</t>
  </si>
  <si>
    <t xml:space="preserve">CPF credited to owner (employee + employer)</t>
  </si>
  <si>
    <t xml:space="preserve">TOTAL TAX (corporate + personal)</t>
  </si>
  <si>
    <t xml:space="preserve">Effective tax rate on profit</t>
  </si>
  <si>
    <t xml:space="preserve">Total owner value (cash + retained + CPF × value %)</t>
  </si>
  <si>
    <t xml:space="preserve">Value gain vs paying nothing</t>
  </si>
  <si>
    <t xml:space="preserve">HOW THE BREAKEVEN WORKS</t>
  </si>
  <si>
    <t xml:space="preserve">• Every $1 paid as salary/fee is deductible to the company (saves corporate tax at the company's marginal rate) but taxed on the owner at their personal marginal rate.</t>
  </si>
  <si>
    <t xml:space="preserve">• Every $1 left in the company is taxed once at the corporate rate; after that, dividends and retained earnings are tax-free (one-tier system). So dividend vs retained is a cash-timing choice, not a tax choice.</t>
  </si>
  <si>
    <t xml:space="preserve">• Rule: keep paying yourself while your personal marginal rate is BELOW the company's marginal rate on the profit you would otherwise leave in.</t>
  </si>
  <si>
    <t xml:space="preserve">• Company marginal rates after partial exemption: 4.25% on first $10k, 8.5% on next $190k, 17% above $200k.</t>
  </si>
  <si>
    <t xml:space="preserve">• Personal marginal rates: 0% to $20k, 2% to $30k, 3.5% to $40k, 7% to $80k, 11.5% to $120k, 15% to $160k, 18% above.</t>
  </si>
  <si>
    <t xml:space="preserve">• So the breakevens are: pay chargeable income up to ~$40k if company profit &lt; $10k after pay; up to $80k if company stays in the 8.5% band; up to $160k if the company still has &gt; $200k left.</t>
  </si>
  <si>
    <t xml:space="preserve">• Salary (with CPF) vs director fee (no CPF): salary only wins if CPF money is worth ~85–95%+ of cash to the owner. Employer CPF is tax-free to the owner but locked up.</t>
  </si>
  <si>
    <t xml:space="preserve">• Not modelled: non-resident director (fees taxed 24% flat), personal tax rebates, foreign-sourced income, and IRAS reasonableness of pay. Get your accountant to sign off before filing.</t>
  </si>
  <si>
    <t xml:space="preserve">Optimiser: tries every total pay level in two structures and picks the one with the highest owner value</t>
  </si>
  <si>
    <t xml:space="preserve">Structure A = director fee only (no CPF). Structure B = salary up to the CPF ceiling first, then director fee.</t>
  </si>
  <si>
    <t xml:space="preserve">Step size ($)</t>
  </si>
  <si>
    <t xml:space="preserve">(auto: profit ÷ 999, rounded up to $100)</t>
  </si>
  <si>
    <t xml:space="preserve">BEST</t>
  </si>
  <si>
    <t xml:space="preserve">Owner value</t>
  </si>
  <si>
    <t xml:space="preserve">Structure</t>
  </si>
  <si>
    <t xml:space="preserve">Best A</t>
  </si>
  <si>
    <t xml:space="preserve">Optimal</t>
  </si>
  <si>
    <t xml:space="preserve">Best B</t>
  </si>
  <si>
    <t xml:space="preserve">Note: if CPF does not apply (foreigner / No), both structures collapse to director-fee-only economics.</t>
  </si>
  <si>
    <t xml:space="preserve">Structure A — director fee only</t>
  </si>
  <si>
    <t xml:space="preserve">Structure B — salary to CPF ceiling, then fee</t>
  </si>
  <si>
    <t xml:space="preserve">Total pay</t>
  </si>
  <si>
    <t xml:space="preserve">CPF wages</t>
  </si>
  <si>
    <t xml:space="preserve">Employee CPF</t>
  </si>
  <si>
    <t xml:space="preserve">Employer CPF</t>
  </si>
  <si>
    <t xml:space="preserve">SDL</t>
  </si>
  <si>
    <t xml:space="preserve">Company taxable</t>
  </si>
  <si>
    <t xml:space="preserve">Corp tax</t>
  </si>
  <si>
    <t xml:space="preserve">After-tax profit</t>
  </si>
  <si>
    <t xml:space="preserve">Reliefs</t>
  </si>
  <si>
    <t xml:space="preserve">Chargeable</t>
  </si>
  <si>
    <t xml:space="preserve">Personal tax</t>
  </si>
  <si>
    <t xml:space="preserve">Snapshot: optimal pay by profit level (default assumptions, age ≤55, no start-up exemption, no rebates)</t>
  </si>
  <si>
    <t xml:space="preserve">STATIC values computed from the same model at $1,000 steps — change inputs on the Calculator sheet for a live answer.</t>
  </si>
  <si>
    <t xml:space="preserve">Profit before owner pay</t>
  </si>
  <si>
    <t xml:space="preserve">Pay nothing: total tax</t>
  </si>
  <si>
    <t xml:space="preserve">Foreigner / CPF worth &lt;85%: best director fee</t>
  </si>
  <si>
    <t xml:space="preserve">Total tax</t>
  </si>
  <si>
    <t xml:space="preserve">Tax saved</t>
  </si>
  <si>
    <t xml:space="preserve">SC/PR valuing CPF at 100%: best salary</t>
  </si>
  <si>
    <t xml:space="preserve">+ director fee</t>
  </si>
  <si>
    <t xml:space="preserve">"Tax" for the CPF case excludes CPF itself (CPF is the owner's money, not tax). Tax saved is before valuing CPF lock-up.</t>
  </si>
  <si>
    <t xml:space="preserve">Singapore tax &amp; CPF parameters (edit if rates change)</t>
  </si>
  <si>
    <t xml:space="preserve">Personal income tax (resident, YA2024 onwards)</t>
  </si>
  <si>
    <t xml:space="preserve">Chargeable income above ($)</t>
  </si>
  <si>
    <t xml:space="preserve">Marginal rate</t>
  </si>
  <si>
    <t xml:space="preserve">Rate step (for formula)</t>
  </si>
  <si>
    <t xml:space="preserve">Source: IRAS, Individual Income Tax rates (resident), YA2024 onwards. https://www.iras.gov.sg/taxes/individual-income-tax/basics-of-individual-income-tax/tax-residency-and-tax-rates/individual-income-tax-rates</t>
  </si>
  <si>
    <t xml:space="preserve">Corporate tax, CPF &amp; levies</t>
  </si>
  <si>
    <t xml:space="preserve">Parameter</t>
  </si>
  <si>
    <t xml:space="preserve">Value</t>
  </si>
  <si>
    <t xml:space="preserve">Source / note</t>
  </si>
  <si>
    <t xml:space="preserve">Corporate tax rate</t>
  </si>
  <si>
    <t xml:space="preserve">IRAS corporate income tax rate</t>
  </si>
  <si>
    <t xml:space="preserve">Partial exemption: tier 1 amount</t>
  </si>
  <si>
    <t xml:space="preserve">IRAS Partial Tax Exemption (PTE), YA2020+</t>
  </si>
  <si>
    <t xml:space="preserve">Partial exemption: tier 1 % exempt</t>
  </si>
  <si>
    <t xml:space="preserve">Partial exemption: tier 2 amount</t>
  </si>
  <si>
    <t xml:space="preserve">Partial exemption: tier 2 % exempt</t>
  </si>
  <si>
    <t xml:space="preserve">Start-up exemption: tier 1 amount</t>
  </si>
  <si>
    <t xml:space="preserve">IRAS Start-Up Tax Exemption (SUTE), first 3 YAs of qualifying new company</t>
  </si>
  <si>
    <t xml:space="preserve">Start-up exemption: tier 1 % exempt</t>
  </si>
  <si>
    <t xml:space="preserve">Start-up exemption: tier 2 amount</t>
  </si>
  <si>
    <t xml:space="preserve">Start-up exemption: tier 2 % exempt</t>
  </si>
  <si>
    <t xml:space="preserve">CPF Ordinary Wage ceiling (per month)</t>
  </si>
  <si>
    <t xml:space="preserve">CPF Board: OW ceiling $8,000/month from 1 Jan 2026</t>
  </si>
  <si>
    <t xml:space="preserve">Months of salary per year</t>
  </si>
  <si>
    <t xml:space="preserve">SDL rate</t>
  </si>
  <si>
    <t xml:space="preserve">SkillsFuture Levy: 0.25% of monthly wages</t>
  </si>
  <si>
    <t xml:space="preserve">SDL minimum per month</t>
  </si>
  <si>
    <t xml:space="preserve">SDL maximum per month</t>
  </si>
  <si>
    <t xml:space="preserve">Cap = 0.25% x $4,500</t>
  </si>
  <si>
    <t xml:space="preserve">Personal reliefs cap</t>
  </si>
  <si>
    <t xml:space="preserve">IRAS: total personal reliefs capped at $80,000 from YA2018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</si>
</sst>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0.0%;\(0.0%\);\-"/>
    <numFmt numFmtId="167" formatCode="0.0%"/>
    <numFmt numFmtId="168" formatCode="0"/>
    <numFmt numFmtId="169" formatCode="0.00%"/>
    <numFmt numFmtId="170" formatCode="\$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sz val="11"/>
      <color rgb="FF008000"/>
      <name val="Arial"/>
      <family val="0"/>
      <charset val="1"/>
    </font>
    <font>
      <sz val="9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4EE"/>
        <bgColor rgb="FFE2F0D9"/>
      </patternFill>
    </fill>
    <fill>
      <patternFill patternType="solid">
        <fgColor rgb="FFE2F0D9"/>
        <bgColor rgb="FFDDE4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E4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4" min="2" style="0" width="22"/>
    <col collapsed="false" customWidth="true" hidden="false" outlineLevel="0" max="5" min="5" style="0" width="90"/>
  </cols>
  <sheetData>
    <row r="1" customFormat="false" ht="16.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4" t="s">
        <v>2</v>
      </c>
      <c r="B4" s="2"/>
      <c r="C4" s="2"/>
      <c r="D4" s="2"/>
      <c r="E4" s="2"/>
    </row>
    <row r="5" customFormat="false" ht="15" hidden="false" customHeight="false" outlineLevel="0" collapsed="false">
      <c r="A5" s="2" t="s">
        <v>3</v>
      </c>
      <c r="B5" s="5" t="n">
        <v>400000</v>
      </c>
      <c r="C5" s="3"/>
      <c r="D5" s="2"/>
      <c r="E5" s="3" t="s">
        <v>4</v>
      </c>
    </row>
    <row r="6" customFormat="false" ht="15" hidden="false" customHeight="false" outlineLevel="0" collapsed="false">
      <c r="A6" s="2" t="s">
        <v>5</v>
      </c>
      <c r="B6" s="6" t="s">
        <v>6</v>
      </c>
      <c r="C6" s="3"/>
      <c r="D6" s="2"/>
      <c r="E6" s="3" t="s">
        <v>7</v>
      </c>
    </row>
    <row r="7" customFormat="false" ht="15" hidden="false" customHeight="false" outlineLevel="0" collapsed="false">
      <c r="A7" s="2" t="s">
        <v>8</v>
      </c>
      <c r="B7" s="7" t="n">
        <v>0.2</v>
      </c>
      <c r="C7" s="3"/>
      <c r="D7" s="2"/>
      <c r="E7" s="3" t="s">
        <v>9</v>
      </c>
    </row>
    <row r="8" customFormat="false" ht="15" hidden="false" customHeight="false" outlineLevel="0" collapsed="false">
      <c r="A8" s="2" t="s">
        <v>10</v>
      </c>
      <c r="B8" s="7" t="n">
        <v>0.17</v>
      </c>
      <c r="C8" s="3"/>
      <c r="D8" s="2"/>
      <c r="E8" s="3" t="s">
        <v>11</v>
      </c>
    </row>
    <row r="9" customFormat="false" ht="15" hidden="false" customHeight="false" outlineLevel="0" collapsed="false">
      <c r="A9" s="2" t="s">
        <v>12</v>
      </c>
      <c r="B9" s="7" t="n">
        <v>1</v>
      </c>
      <c r="C9" s="3"/>
      <c r="D9" s="2"/>
      <c r="E9" s="3" t="s">
        <v>13</v>
      </c>
    </row>
    <row r="10" customFormat="false" ht="15" hidden="false" customHeight="false" outlineLevel="0" collapsed="false">
      <c r="A10" s="2" t="s">
        <v>14</v>
      </c>
      <c r="B10" s="6" t="s">
        <v>15</v>
      </c>
      <c r="C10" s="3"/>
      <c r="D10" s="2"/>
      <c r="E10" s="3" t="s">
        <v>16</v>
      </c>
    </row>
    <row r="11" customFormat="false" ht="15" hidden="false" customHeight="false" outlineLevel="0" collapsed="false">
      <c r="A11" s="2" t="s">
        <v>17</v>
      </c>
      <c r="B11" s="7" t="n">
        <v>0</v>
      </c>
      <c r="C11" s="3"/>
      <c r="D11" s="2"/>
      <c r="E11" s="3" t="s">
        <v>18</v>
      </c>
    </row>
    <row r="12" customFormat="false" ht="15" hidden="false" customHeight="false" outlineLevel="0" collapsed="false">
      <c r="A12" s="2" t="s">
        <v>19</v>
      </c>
      <c r="B12" s="5" t="n">
        <v>0</v>
      </c>
      <c r="C12" s="2"/>
      <c r="D12" s="2"/>
      <c r="E12" s="2"/>
    </row>
    <row r="13" customFormat="false" ht="15" hidden="false" customHeight="false" outlineLevel="0" collapsed="false">
      <c r="A13" s="2" t="s">
        <v>20</v>
      </c>
      <c r="B13" s="5" t="n">
        <v>1000</v>
      </c>
      <c r="C13" s="3"/>
      <c r="D13" s="2"/>
      <c r="E13" s="3" t="s">
        <v>21</v>
      </c>
    </row>
    <row r="14" customFormat="false" ht="15" hidden="false" customHeight="false" outlineLevel="0" collapsed="false">
      <c r="A14" s="2" t="s">
        <v>22</v>
      </c>
      <c r="B14" s="5" t="n">
        <v>0</v>
      </c>
      <c r="C14" s="3"/>
      <c r="D14" s="2"/>
      <c r="E14" s="3" t="s">
        <v>23</v>
      </c>
    </row>
    <row r="15" customFormat="false" ht="15" hidden="false" customHeight="false" outlineLevel="0" collapsed="false">
      <c r="A15" s="2" t="s">
        <v>24</v>
      </c>
      <c r="B15" s="7" t="n">
        <v>1</v>
      </c>
      <c r="C15" s="3"/>
      <c r="D15" s="2"/>
      <c r="E15" s="3" t="s">
        <v>25</v>
      </c>
    </row>
    <row r="16" customFormat="false" ht="15" hidden="false" customHeight="false" outlineLevel="0" collapsed="false">
      <c r="A16" s="2" t="s">
        <v>26</v>
      </c>
      <c r="B16" s="5" t="n">
        <v>96000</v>
      </c>
      <c r="C16" s="3"/>
      <c r="D16" s="2"/>
      <c r="E16" s="3" t="s">
        <v>27</v>
      </c>
    </row>
    <row r="17" customFormat="false" ht="15" hidden="false" customHeight="false" outlineLevel="0" collapsed="false">
      <c r="A17" s="2" t="s">
        <v>28</v>
      </c>
      <c r="B17" s="5" t="n">
        <v>84000</v>
      </c>
      <c r="C17" s="3"/>
      <c r="D17" s="2"/>
      <c r="E17" s="3" t="s">
        <v>29</v>
      </c>
    </row>
    <row r="18" customFormat="false" ht="15" hidden="false" customHeight="false" outlineLevel="0" collapsed="false">
      <c r="A18" s="2"/>
      <c r="B18" s="2"/>
      <c r="C18" s="2"/>
      <c r="D18" s="2"/>
      <c r="E18" s="2"/>
    </row>
    <row r="19" customFormat="false" ht="15" hidden="false" customHeight="false" outlineLevel="0" collapsed="false">
      <c r="A19" s="4" t="s">
        <v>30</v>
      </c>
      <c r="B19" s="2"/>
      <c r="C19" s="2"/>
      <c r="D19" s="2"/>
      <c r="E19" s="2"/>
    </row>
    <row r="20" customFormat="false" ht="31.5" hidden="false" customHeight="true" outlineLevel="0" collapsed="false">
      <c r="A20" s="8"/>
      <c r="B20" s="9" t="s">
        <v>31</v>
      </c>
      <c r="C20" s="9" t="s">
        <v>32</v>
      </c>
      <c r="D20" s="9" t="s">
        <v>33</v>
      </c>
      <c r="E20" s="2"/>
    </row>
    <row r="21" customFormat="false" ht="15" hidden="false" customHeight="false" outlineLevel="0" collapsed="false">
      <c r="A21" s="2" t="s">
        <v>34</v>
      </c>
      <c r="B21" s="10" t="n">
        <v>0</v>
      </c>
      <c r="C21" s="11" t="n">
        <f aca="false">$B$16</f>
        <v>96000</v>
      </c>
      <c r="D21" s="12" t="n">
        <f aca="false">Sweep!$B$6</f>
        <v>96000</v>
      </c>
      <c r="E21" s="2"/>
    </row>
    <row r="22" customFormat="false" ht="15" hidden="false" customHeight="false" outlineLevel="0" collapsed="false">
      <c r="A22" s="2" t="s">
        <v>35</v>
      </c>
      <c r="B22" s="10" t="n">
        <v>0</v>
      </c>
      <c r="C22" s="11" t="n">
        <f aca="false">$B$17</f>
        <v>84000</v>
      </c>
      <c r="D22" s="12" t="n">
        <f aca="false">Sweep!$C$6</f>
        <v>84500</v>
      </c>
      <c r="E22" s="2"/>
    </row>
    <row r="23" customFormat="false" ht="15" hidden="false" customHeight="false" outlineLevel="0" collapsed="false">
      <c r="A23" s="2" t="s">
        <v>36</v>
      </c>
      <c r="B23" s="11" t="n">
        <f aca="false">IF($B$6="Yes",MIN(B21,'Tax Tables'!$B$31*'Tax Tables'!$B$32),0)</f>
        <v>0</v>
      </c>
      <c r="C23" s="11" t="n">
        <f aca="false">IF($B$6="Yes",MIN(C21,'Tax Tables'!$B$31*'Tax Tables'!$B$32),0)</f>
        <v>96000</v>
      </c>
      <c r="D23" s="11" t="n">
        <f aca="false">IF($B$6="Yes",MIN(D21,'Tax Tables'!$B$31*'Tax Tables'!$B$32),0)</f>
        <v>96000</v>
      </c>
      <c r="E23" s="2"/>
    </row>
    <row r="24" customFormat="false" ht="15" hidden="false" customHeight="false" outlineLevel="0" collapsed="false">
      <c r="A24" s="2" t="s">
        <v>37</v>
      </c>
      <c r="B24" s="11" t="n">
        <f aca="false">B23*$B$7</f>
        <v>0</v>
      </c>
      <c r="C24" s="11" t="n">
        <f aca="false">C23*$B$7</f>
        <v>19200</v>
      </c>
      <c r="D24" s="11" t="n">
        <f aca="false">D23*$B$7</f>
        <v>19200</v>
      </c>
      <c r="E24" s="2"/>
    </row>
    <row r="25" customFormat="false" ht="15" hidden="false" customHeight="false" outlineLevel="0" collapsed="false">
      <c r="A25" s="2" t="s">
        <v>38</v>
      </c>
      <c r="B25" s="11" t="n">
        <f aca="false">B23*$B$8</f>
        <v>0</v>
      </c>
      <c r="C25" s="11" t="n">
        <f aca="false">C23*$B$8</f>
        <v>16320</v>
      </c>
      <c r="D25" s="11" t="n">
        <f aca="false">D23*$B$8</f>
        <v>16320</v>
      </c>
      <c r="E25" s="2"/>
    </row>
    <row r="26" customFormat="false" ht="15" hidden="false" customHeight="false" outlineLevel="0" collapsed="false">
      <c r="A26" s="2" t="s">
        <v>39</v>
      </c>
      <c r="B26" s="11" t="n">
        <f aca="false">IF(B21&gt;0,'Tax Tables'!$B$32*MIN(MAX(B21/'Tax Tables'!$B$32*'Tax Tables'!$B$33,'Tax Tables'!$B$34),'Tax Tables'!$B$35),0)</f>
        <v>0</v>
      </c>
      <c r="C26" s="11" t="n">
        <f aca="false">IF(C21&gt;0,'Tax Tables'!$B$32*MIN(MAX(C21/'Tax Tables'!$B$32*'Tax Tables'!$B$33,'Tax Tables'!$B$34),'Tax Tables'!$B$35),0)</f>
        <v>135</v>
      </c>
      <c r="D26" s="11" t="n">
        <f aca="false">IF(D21&gt;0,'Tax Tables'!$B$32*MIN(MAX(D21/'Tax Tables'!$B$32*'Tax Tables'!$B$33,'Tax Tables'!$B$34),'Tax Tables'!$B$35),0)</f>
        <v>135</v>
      </c>
      <c r="E26" s="2"/>
    </row>
    <row r="27" customFormat="false" ht="15" hidden="false" customHeight="false" outlineLevel="0" collapsed="false">
      <c r="A27" s="2" t="s">
        <v>40</v>
      </c>
      <c r="B27" s="11" t="n">
        <f aca="false">$B$5-B21-B22-B25-B26</f>
        <v>400000</v>
      </c>
      <c r="C27" s="11" t="n">
        <f aca="false">$B$5-C21-C22-C25-C26</f>
        <v>203545</v>
      </c>
      <c r="D27" s="11" t="n">
        <f aca="false">$B$5-D21-D22-D25-D26</f>
        <v>203045</v>
      </c>
      <c r="E27" s="2"/>
    </row>
    <row r="28" customFormat="false" ht="15" hidden="false" customHeight="false" outlineLevel="0" collapsed="false">
      <c r="A28" s="2" t="s">
        <v>41</v>
      </c>
      <c r="B28" s="13" t="str">
        <f aca="false">IF(B27&gt;=0,"Yes","NO — pay exceeds profit")</f>
        <v>Yes</v>
      </c>
      <c r="C28" s="13" t="str">
        <f aca="false">IF(C27&gt;=0,"Yes","NO — pay exceeds profit")</f>
        <v>Yes</v>
      </c>
      <c r="D28" s="13" t="str">
        <f aca="false">IF(D27&gt;=0,"Yes","NO — pay exceeds profit")</f>
        <v>Yes</v>
      </c>
      <c r="E28" s="2"/>
    </row>
    <row r="29" customFormat="false" ht="15" hidden="false" customHeight="false" outlineLevel="0" collapsed="false">
      <c r="A29" s="2" t="s">
        <v>42</v>
      </c>
      <c r="B29" s="11" t="n">
        <f aca="false">'Tax Tables'!$B$22*(MAX(B27,0)-IF($B$10="Yes",MIN(MAX(B27,0),'Tax Tables'!$B$27)*'Tax Tables'!$B$28+MIN(MAX(MAX(B27,0)-'Tax Tables'!$B$27,0),'Tax Tables'!$B$29)*'Tax Tables'!$B$30,MIN(MAX(B27,0),'Tax Tables'!$B$23)*'Tax Tables'!$B$24+MIN(MAX(MAX(B27,0)-'Tax Tables'!$B$23,0),'Tax Tables'!$B$25)*'Tax Tables'!$B$26))</f>
        <v>50575</v>
      </c>
      <c r="C29" s="11" t="n">
        <f aca="false">'Tax Tables'!$B$22*(MAX(C27,0)-IF($B$10="Yes",MIN(MAX(C27,0),'Tax Tables'!$B$27)*'Tax Tables'!$B$28+MIN(MAX(MAX(C27,0)-'Tax Tables'!$B$27,0),'Tax Tables'!$B$29)*'Tax Tables'!$B$30,MIN(MAX(C27,0),'Tax Tables'!$B$23)*'Tax Tables'!$B$24+MIN(MAX(MAX(C27,0)-'Tax Tables'!$B$23,0),'Tax Tables'!$B$25)*'Tax Tables'!$B$26))</f>
        <v>17177.65</v>
      </c>
      <c r="D29" s="11" t="n">
        <f aca="false">'Tax Tables'!$B$22*(MAX(D27,0)-IF($B$10="Yes",MIN(MAX(D27,0),'Tax Tables'!$B$27)*'Tax Tables'!$B$28+MIN(MAX(MAX(D27,0)-'Tax Tables'!$B$27,0),'Tax Tables'!$B$29)*'Tax Tables'!$B$30,MIN(MAX(D27,0),'Tax Tables'!$B$23)*'Tax Tables'!$B$24+MIN(MAX(MAX(D27,0)-'Tax Tables'!$B$23,0),'Tax Tables'!$B$25)*'Tax Tables'!$B$26))</f>
        <v>17092.65</v>
      </c>
      <c r="E29" s="2"/>
    </row>
    <row r="30" customFormat="false" ht="15" hidden="false" customHeight="false" outlineLevel="0" collapsed="false">
      <c r="A30" s="2" t="s">
        <v>43</v>
      </c>
      <c r="B30" s="11" t="n">
        <f aca="false">MIN(B29*$B$11,$B$12)</f>
        <v>0</v>
      </c>
      <c r="C30" s="11" t="n">
        <f aca="false">MIN(C29*$B$11,$B$12)</f>
        <v>0</v>
      </c>
      <c r="D30" s="11" t="n">
        <f aca="false">MIN(D29*$B$11,$B$12)</f>
        <v>0</v>
      </c>
      <c r="E30" s="2"/>
    </row>
    <row r="31" customFormat="false" ht="15" hidden="false" customHeight="false" outlineLevel="0" collapsed="false">
      <c r="A31" s="2" t="s">
        <v>44</v>
      </c>
      <c r="B31" s="11" t="n">
        <f aca="false">B29-B30</f>
        <v>50575</v>
      </c>
      <c r="C31" s="11" t="n">
        <f aca="false">C29-C30</f>
        <v>17177.65</v>
      </c>
      <c r="D31" s="11" t="n">
        <f aca="false">D29-D30</f>
        <v>17092.65</v>
      </c>
      <c r="E31" s="2"/>
    </row>
    <row r="32" customFormat="false" ht="15" hidden="false" customHeight="false" outlineLevel="0" collapsed="false">
      <c r="A32" s="2" t="s">
        <v>45</v>
      </c>
      <c r="B32" s="11" t="n">
        <f aca="false">MAX(B27,0)-B31</f>
        <v>349425</v>
      </c>
      <c r="C32" s="11" t="n">
        <f aca="false">MAX(C27,0)-C31</f>
        <v>186367.35</v>
      </c>
      <c r="D32" s="11" t="n">
        <f aca="false">MAX(D27,0)-D31</f>
        <v>185952.35</v>
      </c>
      <c r="E32" s="2"/>
    </row>
    <row r="33" customFormat="false" ht="15" hidden="false" customHeight="false" outlineLevel="0" collapsed="false">
      <c r="A33" s="2" t="s">
        <v>46</v>
      </c>
      <c r="B33" s="11" t="n">
        <f aca="false">B32*$B$15</f>
        <v>349425</v>
      </c>
      <c r="C33" s="11" t="n">
        <f aca="false">C32*$B$15</f>
        <v>186367.35</v>
      </c>
      <c r="D33" s="11" t="n">
        <f aca="false">D32*$B$15</f>
        <v>185952.35</v>
      </c>
      <c r="E33" s="2"/>
    </row>
    <row r="34" customFormat="false" ht="15" hidden="false" customHeight="false" outlineLevel="0" collapsed="false">
      <c r="A34" s="2" t="s">
        <v>47</v>
      </c>
      <c r="B34" s="11" t="n">
        <f aca="false">B32-B33</f>
        <v>0</v>
      </c>
      <c r="C34" s="11" t="n">
        <f aca="false">C32-C33</f>
        <v>0</v>
      </c>
      <c r="D34" s="11" t="n">
        <f aca="false">D32-D33</f>
        <v>0</v>
      </c>
      <c r="E34" s="2"/>
    </row>
    <row r="35" customFormat="false" ht="15" hidden="false" customHeight="false" outlineLevel="0" collapsed="false">
      <c r="A35" s="2" t="s">
        <v>48</v>
      </c>
      <c r="B35" s="11" t="n">
        <f aca="false">MIN(IF(B21+B22&gt;0,$B$13,0)+B24+$B$14,'Tax Tables'!$B$36)</f>
        <v>0</v>
      </c>
      <c r="C35" s="11" t="n">
        <f aca="false">MIN(IF(C21+C22&gt;0,$B$13,0)+C24+$B$14,'Tax Tables'!$B$36)</f>
        <v>20200</v>
      </c>
      <c r="D35" s="11" t="n">
        <f aca="false">MIN(IF(D21+D22&gt;0,$B$13,0)+D24+$B$14,'Tax Tables'!$B$36)</f>
        <v>20200</v>
      </c>
      <c r="E35" s="2"/>
    </row>
    <row r="36" customFormat="false" ht="15" hidden="false" customHeight="false" outlineLevel="0" collapsed="false">
      <c r="A36" s="2" t="s">
        <v>49</v>
      </c>
      <c r="B36" s="11" t="n">
        <f aca="false">MAX(B21+B22-B35,0)</f>
        <v>0</v>
      </c>
      <c r="C36" s="11" t="n">
        <f aca="false">MAX(C21+C22-C35,0)</f>
        <v>159800</v>
      </c>
      <c r="D36" s="11" t="n">
        <f aca="false">MAX(D21+D22-D35,0)</f>
        <v>160300</v>
      </c>
      <c r="E36" s="2"/>
    </row>
    <row r="37" customFormat="false" ht="15" hidden="false" customHeight="false" outlineLevel="0" collapsed="false">
      <c r="A37" s="2" t="s">
        <v>50</v>
      </c>
      <c r="B37" s="11" t="n">
        <f aca="false">SUMPRODUCT((B36&gt;'Tax Tables'!$A$5:$A$17)*(B36-'Tax Tables'!$A$5:$A$17)*'Tax Tables'!$C$5:$C$17)</f>
        <v>0</v>
      </c>
      <c r="C37" s="11" t="n">
        <f aca="false">SUMPRODUCT((C36&gt;'Tax Tables'!$A$5:$A$17)*(C36-'Tax Tables'!$A$5:$A$17)*'Tax Tables'!$C$5:$C$17)</f>
        <v>13920</v>
      </c>
      <c r="D37" s="11" t="n">
        <f aca="false">SUMPRODUCT((D36&gt;'Tax Tables'!$A$5:$A$17)*(D36-'Tax Tables'!$A$5:$A$17)*'Tax Tables'!$C$5:$C$17)</f>
        <v>14004</v>
      </c>
      <c r="E37" s="2"/>
    </row>
    <row r="38" customFormat="false" ht="15" hidden="false" customHeight="false" outlineLevel="0" collapsed="false">
      <c r="A38" s="2" t="s">
        <v>51</v>
      </c>
      <c r="B38" s="11" t="n">
        <f aca="false">B21-B24+B22-B37</f>
        <v>0</v>
      </c>
      <c r="C38" s="11" t="n">
        <f aca="false">C21-C24+C22-C37</f>
        <v>146880</v>
      </c>
      <c r="D38" s="11" t="n">
        <f aca="false">D21-D24+D22-D37</f>
        <v>147296</v>
      </c>
      <c r="E38" s="2"/>
    </row>
    <row r="39" customFormat="false" ht="15" hidden="false" customHeight="false" outlineLevel="0" collapsed="false">
      <c r="A39" s="4" t="s">
        <v>52</v>
      </c>
      <c r="B39" s="14" t="n">
        <f aca="false">B38+B33</f>
        <v>349425</v>
      </c>
      <c r="C39" s="14" t="n">
        <f aca="false">C38+C33</f>
        <v>333247.35</v>
      </c>
      <c r="D39" s="14" t="n">
        <f aca="false">D38+D33</f>
        <v>333248.35</v>
      </c>
      <c r="E39" s="2"/>
    </row>
    <row r="40" customFormat="false" ht="15" hidden="false" customHeight="false" outlineLevel="0" collapsed="false">
      <c r="A40" s="2" t="s">
        <v>53</v>
      </c>
      <c r="B40" s="11" t="n">
        <f aca="false">B24+B25</f>
        <v>0</v>
      </c>
      <c r="C40" s="11" t="n">
        <f aca="false">C24+C25</f>
        <v>35520</v>
      </c>
      <c r="D40" s="11" t="n">
        <f aca="false">D24+D25</f>
        <v>35520</v>
      </c>
      <c r="E40" s="2"/>
    </row>
    <row r="41" customFormat="false" ht="15" hidden="false" customHeight="false" outlineLevel="0" collapsed="false">
      <c r="A41" s="4" t="s">
        <v>54</v>
      </c>
      <c r="B41" s="14" t="n">
        <f aca="false">B31+B37</f>
        <v>50575</v>
      </c>
      <c r="C41" s="14" t="n">
        <f aca="false">C31+C37</f>
        <v>31097.65</v>
      </c>
      <c r="D41" s="14" t="n">
        <f aca="false">D31+D37</f>
        <v>31096.65</v>
      </c>
      <c r="E41" s="2"/>
    </row>
    <row r="42" customFormat="false" ht="15" hidden="false" customHeight="false" outlineLevel="0" collapsed="false">
      <c r="A42" s="2" t="s">
        <v>55</v>
      </c>
      <c r="B42" s="15" t="n">
        <f aca="false">IF($B$5&gt;0,B41/$B$5,0)</f>
        <v>0.1264375</v>
      </c>
      <c r="C42" s="15" t="n">
        <f aca="false">IF($B$5&gt;0,C41/$B$5,0)</f>
        <v>0.077744125</v>
      </c>
      <c r="D42" s="15" t="n">
        <f aca="false">IF($B$5&gt;0,D41/$B$5,0)</f>
        <v>0.077741625</v>
      </c>
      <c r="E42" s="2"/>
    </row>
    <row r="43" customFormat="false" ht="15" hidden="false" customHeight="false" outlineLevel="0" collapsed="false">
      <c r="A43" s="4" t="s">
        <v>56</v>
      </c>
      <c r="B43" s="14" t="n">
        <f aca="false">IF(B27&lt;0,NA(),B39+B34+B40*$B$9)</f>
        <v>349425</v>
      </c>
      <c r="C43" s="14" t="n">
        <f aca="false">IF(C27&lt;0,NA(),C39+C34+C40*$B$9)</f>
        <v>368767.35</v>
      </c>
      <c r="D43" s="14" t="n">
        <f aca="false">IF(D27&lt;0,NA(),D39+D34+D40*$B$9)</f>
        <v>368768.35</v>
      </c>
      <c r="E43" s="2"/>
    </row>
    <row r="44" customFormat="false" ht="15" hidden="false" customHeight="false" outlineLevel="0" collapsed="false">
      <c r="A44" s="2" t="s">
        <v>57</v>
      </c>
      <c r="B44" s="11" t="n">
        <f aca="false">B43-$B$43</f>
        <v>0</v>
      </c>
      <c r="C44" s="11" t="n">
        <f aca="false">C43-$B$43</f>
        <v>19342.35</v>
      </c>
      <c r="D44" s="11" t="n">
        <f aca="false">D43-$B$43</f>
        <v>19343.35</v>
      </c>
      <c r="E44" s="2"/>
    </row>
    <row r="45" customFormat="false" ht="15" hidden="false" customHeight="false" outlineLevel="0" collapsed="false">
      <c r="A45" s="2"/>
      <c r="B45" s="2"/>
      <c r="C45" s="2"/>
      <c r="D45" s="2"/>
      <c r="E45" s="2"/>
    </row>
    <row r="46" customFormat="false" ht="15" hidden="false" customHeight="false" outlineLevel="0" collapsed="false">
      <c r="A46" s="2"/>
      <c r="B46" s="2"/>
      <c r="C46" s="2"/>
      <c r="D46" s="2"/>
      <c r="E46" s="2"/>
    </row>
    <row r="47" customFormat="false" ht="15" hidden="false" customHeight="false" outlineLevel="0" collapsed="false">
      <c r="A47" s="4" t="s">
        <v>58</v>
      </c>
      <c r="B47" s="2"/>
      <c r="C47" s="2"/>
      <c r="D47" s="2"/>
      <c r="E47" s="2"/>
    </row>
    <row r="48" customFormat="false" ht="15" hidden="false" customHeight="false" outlineLevel="0" collapsed="false">
      <c r="A48" s="16" t="s">
        <v>59</v>
      </c>
      <c r="B48" s="2"/>
      <c r="C48" s="2"/>
      <c r="D48" s="2"/>
      <c r="E48" s="2"/>
    </row>
    <row r="49" customFormat="false" ht="15" hidden="false" customHeight="false" outlineLevel="0" collapsed="false">
      <c r="A49" s="16" t="s">
        <v>60</v>
      </c>
      <c r="B49" s="2"/>
      <c r="C49" s="2"/>
      <c r="D49" s="2"/>
      <c r="E49" s="2"/>
    </row>
    <row r="50" customFormat="false" ht="15" hidden="false" customHeight="false" outlineLevel="0" collapsed="false">
      <c r="A50" s="16" t="s">
        <v>61</v>
      </c>
      <c r="B50" s="2"/>
      <c r="C50" s="2"/>
      <c r="D50" s="2"/>
      <c r="E50" s="2"/>
    </row>
    <row r="51" customFormat="false" ht="15" hidden="false" customHeight="false" outlineLevel="0" collapsed="false">
      <c r="A51" s="16" t="s">
        <v>62</v>
      </c>
      <c r="B51" s="2"/>
      <c r="C51" s="2"/>
      <c r="D51" s="2"/>
      <c r="E51" s="2"/>
    </row>
    <row r="52" customFormat="false" ht="15" hidden="false" customHeight="false" outlineLevel="0" collapsed="false">
      <c r="A52" s="16" t="s">
        <v>63</v>
      </c>
      <c r="B52" s="2"/>
      <c r="C52" s="2"/>
      <c r="D52" s="2"/>
      <c r="E52" s="2"/>
    </row>
    <row r="53" customFormat="false" ht="15" hidden="false" customHeight="false" outlineLevel="0" collapsed="false">
      <c r="A53" s="16" t="s">
        <v>64</v>
      </c>
      <c r="B53" s="2"/>
      <c r="C53" s="2"/>
      <c r="D53" s="2"/>
      <c r="E53" s="2"/>
    </row>
    <row r="54" customFormat="false" ht="15" hidden="false" customHeight="false" outlineLevel="0" collapsed="false">
      <c r="A54" s="16" t="s">
        <v>65</v>
      </c>
      <c r="B54" s="2"/>
      <c r="C54" s="2"/>
      <c r="D54" s="2"/>
      <c r="E54" s="2"/>
    </row>
    <row r="55" customFormat="false" ht="15" hidden="false" customHeight="false" outlineLevel="0" collapsed="false">
      <c r="A55" s="16" t="s">
        <v>66</v>
      </c>
      <c r="B55" s="2"/>
      <c r="C55" s="2"/>
      <c r="D55" s="2"/>
      <c r="E55" s="2"/>
    </row>
  </sheetData>
  <dataValidations count="1">
    <dataValidation allowBlank="false" errorStyle="stop" operator="between" showDropDown="false" showErrorMessage="false" showInputMessage="false" sqref="B6 B1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4" min="1" style="0" width="13"/>
    <col collapsed="false" customWidth="true" hidden="false" outlineLevel="0" max="29" min="16" style="0" width="13"/>
  </cols>
  <sheetData>
    <row r="1" customFormat="false" ht="15" hidden="false" customHeight="false" outlineLevel="0" collapsed="false">
      <c r="A1" s="17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15" hidden="false" customHeight="false" outlineLevel="0" collapsed="false">
      <c r="A2" s="3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customFormat="false" ht="15" hidden="false" customHeight="false" outlineLevel="0" collapsed="false">
      <c r="A3" s="2" t="s">
        <v>69</v>
      </c>
      <c r="B3" s="18" t="n">
        <f aca="false">MAX(100,CEILING(Calculator!$B$5/999,100))</f>
        <v>500</v>
      </c>
      <c r="C3" s="3" t="s">
        <v>70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customFormat="false" ht="15" hidden="false" customHeight="false" outlineLevel="0" collapsed="false">
      <c r="A5" s="19" t="s">
        <v>71</v>
      </c>
      <c r="B5" s="19" t="s">
        <v>34</v>
      </c>
      <c r="C5" s="19" t="s">
        <v>35</v>
      </c>
      <c r="D5" s="19" t="s">
        <v>72</v>
      </c>
      <c r="E5" s="19" t="s">
        <v>73</v>
      </c>
      <c r="F5" s="2"/>
      <c r="G5" s="2" t="s">
        <v>74</v>
      </c>
      <c r="H5" s="18" t="n">
        <f aca="false">MAX(N13:N1012)</f>
        <v>362845</v>
      </c>
      <c r="I5" s="2" t="n">
        <f aca="false">MATCH(H5,N13:N1012,0)</f>
        <v>323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customFormat="false" ht="15" hidden="false" customHeight="false" outlineLevel="0" collapsed="false">
      <c r="A6" s="2" t="s">
        <v>75</v>
      </c>
      <c r="B6" s="20" t="n">
        <f aca="false">IF(H6&gt;H5,INDEX(Q13:Q1012,I6),INDEX(B13:B1012,I5))</f>
        <v>96000</v>
      </c>
      <c r="C6" s="20" t="n">
        <f aca="false">IF(H6&gt;H5,INDEX(R13:R1012,I6),INDEX(C13:C1012,I5))</f>
        <v>84500</v>
      </c>
      <c r="D6" s="20" t="n">
        <f aca="false">MAX(H5,H6)</f>
        <v>368768.35</v>
      </c>
      <c r="E6" s="2" t="str">
        <f aca="false">IF(H6&gt;H5,"Salary to CPF ceiling + fee","Director fee only")</f>
        <v>Salary to CPF ceiling + fee</v>
      </c>
      <c r="F6" s="2"/>
      <c r="G6" s="2" t="s">
        <v>76</v>
      </c>
      <c r="H6" s="18" t="n">
        <f aca="false">MAX(AC13:AC1012)</f>
        <v>368768.35</v>
      </c>
      <c r="I6" s="2" t="n">
        <f aca="false">MATCH(H6,AC13:AC1012,0)</f>
        <v>362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customFormat="false" ht="15" hidden="false" customHeight="false" outlineLevel="0" collapsed="false">
      <c r="A8" s="3" t="s">
        <v>77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customFormat="false" ht="15" hidden="false" customHeight="false" outlineLevel="0" collapsed="false">
      <c r="A11" s="4" t="s">
        <v>78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 t="s">
        <v>79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customFormat="false" ht="15" hidden="false" customHeight="false" outlineLevel="0" collapsed="false">
      <c r="A12" s="19" t="s">
        <v>80</v>
      </c>
      <c r="B12" s="19" t="s">
        <v>34</v>
      </c>
      <c r="C12" s="19" t="s">
        <v>35</v>
      </c>
      <c r="D12" s="19" t="s">
        <v>81</v>
      </c>
      <c r="E12" s="19" t="s">
        <v>82</v>
      </c>
      <c r="F12" s="19" t="s">
        <v>83</v>
      </c>
      <c r="G12" s="19" t="s">
        <v>84</v>
      </c>
      <c r="H12" s="19" t="s">
        <v>85</v>
      </c>
      <c r="I12" s="19" t="s">
        <v>86</v>
      </c>
      <c r="J12" s="19" t="s">
        <v>87</v>
      </c>
      <c r="K12" s="19" t="s">
        <v>88</v>
      </c>
      <c r="L12" s="19" t="s">
        <v>89</v>
      </c>
      <c r="M12" s="19" t="s">
        <v>90</v>
      </c>
      <c r="N12" s="19" t="s">
        <v>72</v>
      </c>
      <c r="O12" s="2"/>
      <c r="P12" s="19" t="s">
        <v>80</v>
      </c>
      <c r="Q12" s="19" t="s">
        <v>34</v>
      </c>
      <c r="R12" s="19" t="s">
        <v>35</v>
      </c>
      <c r="S12" s="19" t="s">
        <v>81</v>
      </c>
      <c r="T12" s="19" t="s">
        <v>82</v>
      </c>
      <c r="U12" s="19" t="s">
        <v>83</v>
      </c>
      <c r="V12" s="19" t="s">
        <v>84</v>
      </c>
      <c r="W12" s="19" t="s">
        <v>85</v>
      </c>
      <c r="X12" s="19" t="s">
        <v>86</v>
      </c>
      <c r="Y12" s="19" t="s">
        <v>87</v>
      </c>
      <c r="Z12" s="19" t="s">
        <v>88</v>
      </c>
      <c r="AA12" s="19" t="s">
        <v>89</v>
      </c>
      <c r="AB12" s="19" t="s">
        <v>90</v>
      </c>
      <c r="AC12" s="19" t="s">
        <v>72</v>
      </c>
    </row>
    <row r="13" customFormat="false" ht="15" hidden="false" customHeight="false" outlineLevel="0" collapsed="false">
      <c r="A13" s="11" t="n">
        <f aca="false">0*$B$3</f>
        <v>0</v>
      </c>
      <c r="B13" s="11" t="n">
        <f aca="false">0</f>
        <v>0</v>
      </c>
      <c r="C13" s="11" t="n">
        <f aca="false">A13-B13</f>
        <v>0</v>
      </c>
      <c r="D13" s="11" t="n">
        <f aca="false">IF(Calculator!$B$6="Yes",MIN(B13,'Tax Tables'!$B$31*'Tax Tables'!$B$32),0)</f>
        <v>0</v>
      </c>
      <c r="E13" s="11" t="n">
        <f aca="false">D13*Calculator!$B$7</f>
        <v>0</v>
      </c>
      <c r="F13" s="11" t="n">
        <f aca="false">D13*Calculator!$B$8</f>
        <v>0</v>
      </c>
      <c r="G13" s="11" t="n">
        <f aca="false">IF(B13&gt;0,'Tax Tables'!$B$32*MIN(MAX(B13/'Tax Tables'!$B$32*'Tax Tables'!$B$33,'Tax Tables'!$B$34),'Tax Tables'!$B$35),0)</f>
        <v>0</v>
      </c>
      <c r="H13" s="11" t="n">
        <f aca="false">Calculator!$B$5-A13-F13-G13</f>
        <v>400000</v>
      </c>
      <c r="I13" s="11" t="n">
        <f aca="false">'Tax Tables'!$B$22*(MAX(H13,0)-IF(Calculator!$B$10="Yes",MIN(MAX(H13,0),'Tax Tables'!$B$27)*'Tax Tables'!$B$28+MIN(MAX(MAX(H13,0)-'Tax Tables'!$B$27,0),'Tax Tables'!$B$29)*'Tax Tables'!$B$30,MIN(MAX(H13,0),'Tax Tables'!$B$23)*'Tax Tables'!$B$24+MIN(MAX(MAX(H13,0)-'Tax Tables'!$B$23,0),'Tax Tables'!$B$25)*'Tax Tables'!$B$26))*1-MIN('Tax Tables'!$B$22*(MAX(H13,0)-IF(Calculator!$B$10="Yes",MIN(MAX(H13,0),'Tax Tables'!$B$27)*'Tax Tables'!$B$28+MIN(MAX(MAX(H13,0)-'Tax Tables'!$B$27,0),'Tax Tables'!$B$29)*'Tax Tables'!$B$30,MIN(MAX(H13,0),'Tax Tables'!$B$23)*'Tax Tables'!$B$24+MIN(MAX(MAX(H13,0)-'Tax Tables'!$B$23,0),'Tax Tables'!$B$25)*'Tax Tables'!$B$26))*Calculator!$B$11,Calculator!$B$12)</f>
        <v>50575</v>
      </c>
      <c r="J13" s="11" t="n">
        <f aca="false">MAX(H13,0)-I13</f>
        <v>349425</v>
      </c>
      <c r="K13" s="11" t="n">
        <f aca="false">MIN(IF(A13&gt;0,Calculator!$B$13,0)+E13+Calculator!$B$14,'Tax Tables'!$B$36)</f>
        <v>0</v>
      </c>
      <c r="L13" s="11" t="n">
        <f aca="false">MAX(A13-K13,0)</f>
        <v>0</v>
      </c>
      <c r="M13" s="11" t="n">
        <f aca="false">SUMPRODUCT((L13&gt;'Tax Tables'!$A$5:$A$17)*(L13-'Tax Tables'!$A$5:$A$17)*'Tax Tables'!$C$5:$C$17)</f>
        <v>0</v>
      </c>
      <c r="N13" s="11" t="n">
        <f aca="false">IF(H13&lt;0,-1E+099,A13-E13-M13+J13+(E13+F13)*Calculator!$B$9)</f>
        <v>349425</v>
      </c>
      <c r="O13" s="2"/>
      <c r="P13" s="11" t="n">
        <f aca="false">0*$B$3</f>
        <v>0</v>
      </c>
      <c r="Q13" s="11" t="n">
        <f aca="false">MIN(P13,'Tax Tables'!$B$31*'Tax Tables'!$B$32)</f>
        <v>0</v>
      </c>
      <c r="R13" s="11" t="n">
        <f aca="false">P13-Q13</f>
        <v>0</v>
      </c>
      <c r="S13" s="11" t="n">
        <f aca="false">IF(Calculator!$B$6="Yes",MIN(Q13,'Tax Tables'!$B$31*'Tax Tables'!$B$32),0)</f>
        <v>0</v>
      </c>
      <c r="T13" s="11" t="n">
        <f aca="false">S13*Calculator!$B$7</f>
        <v>0</v>
      </c>
      <c r="U13" s="11" t="n">
        <f aca="false">S13*Calculator!$B$8</f>
        <v>0</v>
      </c>
      <c r="V13" s="11" t="n">
        <f aca="false">IF(Q13&gt;0,'Tax Tables'!$B$32*MIN(MAX(Q13/'Tax Tables'!$B$32*'Tax Tables'!$B$33,'Tax Tables'!$B$34),'Tax Tables'!$B$35),0)</f>
        <v>0</v>
      </c>
      <c r="W13" s="11" t="n">
        <f aca="false">Calculator!$B$5-P13-U13-V13</f>
        <v>400000</v>
      </c>
      <c r="X13" s="11" t="n">
        <f aca="false">'Tax Tables'!$B$22*(MAX(W13,0)-IF(Calculator!$B$10="Yes",MIN(MAX(W13,0),'Tax Tables'!$B$27)*'Tax Tables'!$B$28+MIN(MAX(MAX(W13,0)-'Tax Tables'!$B$27,0),'Tax Tables'!$B$29)*'Tax Tables'!$B$30,MIN(MAX(W13,0),'Tax Tables'!$B$23)*'Tax Tables'!$B$24+MIN(MAX(MAX(W13,0)-'Tax Tables'!$B$23,0),'Tax Tables'!$B$25)*'Tax Tables'!$B$26))*1-MIN('Tax Tables'!$B$22*(MAX(W13,0)-IF(Calculator!$B$10="Yes",MIN(MAX(W13,0),'Tax Tables'!$B$27)*'Tax Tables'!$B$28+MIN(MAX(MAX(W13,0)-'Tax Tables'!$B$27,0),'Tax Tables'!$B$29)*'Tax Tables'!$B$30,MIN(MAX(W13,0),'Tax Tables'!$B$23)*'Tax Tables'!$B$24+MIN(MAX(MAX(W13,0)-'Tax Tables'!$B$23,0),'Tax Tables'!$B$25)*'Tax Tables'!$B$26))*Calculator!$B$11,Calculator!$B$12)</f>
        <v>50575</v>
      </c>
      <c r="Y13" s="11" t="n">
        <f aca="false">MAX(W13,0)-X13</f>
        <v>349425</v>
      </c>
      <c r="Z13" s="11" t="n">
        <f aca="false">MIN(IF(P13&gt;0,Calculator!$B$13,0)+T13+Calculator!$B$14,'Tax Tables'!$B$36)</f>
        <v>0</v>
      </c>
      <c r="AA13" s="11" t="n">
        <f aca="false">MAX(P13-Z13,0)</f>
        <v>0</v>
      </c>
      <c r="AB13" s="11" t="n">
        <f aca="false">SUMPRODUCT((AA13&gt;'Tax Tables'!$A$5:$A$17)*(AA13-'Tax Tables'!$A$5:$A$17)*'Tax Tables'!$C$5:$C$17)</f>
        <v>0</v>
      </c>
      <c r="AC13" s="11" t="n">
        <f aca="false">IF(W13&lt;0,-1E+099,P13-T13-AB13+Y13+(T13+U13)*Calculator!$B$9)</f>
        <v>349425</v>
      </c>
    </row>
    <row r="14" customFormat="false" ht="15" hidden="false" customHeight="false" outlineLevel="0" collapsed="false">
      <c r="A14" s="11" t="n">
        <f aca="false">1*$B$3</f>
        <v>500</v>
      </c>
      <c r="B14" s="11" t="n">
        <f aca="false">0</f>
        <v>0</v>
      </c>
      <c r="C14" s="11" t="n">
        <f aca="false">A14-B14</f>
        <v>500</v>
      </c>
      <c r="D14" s="11" t="n">
        <f aca="false">IF(Calculator!$B$6="Yes",MIN(B14,'Tax Tables'!$B$31*'Tax Tables'!$B$32),0)</f>
        <v>0</v>
      </c>
      <c r="E14" s="11" t="n">
        <f aca="false">D14*Calculator!$B$7</f>
        <v>0</v>
      </c>
      <c r="F14" s="11" t="n">
        <f aca="false">D14*Calculator!$B$8</f>
        <v>0</v>
      </c>
      <c r="G14" s="11" t="n">
        <f aca="false">IF(B14&gt;0,'Tax Tables'!$B$32*MIN(MAX(B14/'Tax Tables'!$B$32*'Tax Tables'!$B$33,'Tax Tables'!$B$34),'Tax Tables'!$B$35),0)</f>
        <v>0</v>
      </c>
      <c r="H14" s="11" t="n">
        <f aca="false">Calculator!$B$5-A14-F14-G14</f>
        <v>399500</v>
      </c>
      <c r="I14" s="11" t="n">
        <f aca="false">'Tax Tables'!$B$22*(MAX(H14,0)-IF(Calculator!$B$10="Yes",MIN(MAX(H14,0),'Tax Tables'!$B$27)*'Tax Tables'!$B$28+MIN(MAX(MAX(H14,0)-'Tax Tables'!$B$27,0),'Tax Tables'!$B$29)*'Tax Tables'!$B$30,MIN(MAX(H14,0),'Tax Tables'!$B$23)*'Tax Tables'!$B$24+MIN(MAX(MAX(H14,0)-'Tax Tables'!$B$23,0),'Tax Tables'!$B$25)*'Tax Tables'!$B$26))*1-MIN('Tax Tables'!$B$22*(MAX(H14,0)-IF(Calculator!$B$10="Yes",MIN(MAX(H14,0),'Tax Tables'!$B$27)*'Tax Tables'!$B$28+MIN(MAX(MAX(H14,0)-'Tax Tables'!$B$27,0),'Tax Tables'!$B$29)*'Tax Tables'!$B$30,MIN(MAX(H14,0),'Tax Tables'!$B$23)*'Tax Tables'!$B$24+MIN(MAX(MAX(H14,0)-'Tax Tables'!$B$23,0),'Tax Tables'!$B$25)*'Tax Tables'!$B$26))*Calculator!$B$11,Calculator!$B$12)</f>
        <v>50490</v>
      </c>
      <c r="J14" s="11" t="n">
        <f aca="false">MAX(H14,0)-I14</f>
        <v>349010</v>
      </c>
      <c r="K14" s="11" t="n">
        <f aca="false">MIN(IF(A14&gt;0,Calculator!$B$13,0)+E14+Calculator!$B$14,'Tax Tables'!$B$36)</f>
        <v>1000</v>
      </c>
      <c r="L14" s="11" t="n">
        <f aca="false">MAX(A14-K14,0)</f>
        <v>0</v>
      </c>
      <c r="M14" s="11" t="n">
        <f aca="false">SUMPRODUCT((L14&gt;'Tax Tables'!$A$5:$A$17)*(L14-'Tax Tables'!$A$5:$A$17)*'Tax Tables'!$C$5:$C$17)</f>
        <v>0</v>
      </c>
      <c r="N14" s="11" t="n">
        <f aca="false">IF(H14&lt;0,-1E+099,A14-E14-M14+J14+(E14+F14)*Calculator!$B$9)</f>
        <v>349510</v>
      </c>
      <c r="O14" s="2"/>
      <c r="P14" s="11" t="n">
        <f aca="false">1*$B$3</f>
        <v>500</v>
      </c>
      <c r="Q14" s="11" t="n">
        <f aca="false">MIN(P14,'Tax Tables'!$B$31*'Tax Tables'!$B$32)</f>
        <v>500</v>
      </c>
      <c r="R14" s="11" t="n">
        <f aca="false">P14-Q14</f>
        <v>0</v>
      </c>
      <c r="S14" s="11" t="n">
        <f aca="false">IF(Calculator!$B$6="Yes",MIN(Q14,'Tax Tables'!$B$31*'Tax Tables'!$B$32),0)</f>
        <v>500</v>
      </c>
      <c r="T14" s="11" t="n">
        <f aca="false">S14*Calculator!$B$7</f>
        <v>100</v>
      </c>
      <c r="U14" s="11" t="n">
        <f aca="false">S14*Calculator!$B$8</f>
        <v>85</v>
      </c>
      <c r="V14" s="11" t="n">
        <f aca="false">IF(Q14&gt;0,'Tax Tables'!$B$32*MIN(MAX(Q14/'Tax Tables'!$B$32*'Tax Tables'!$B$33,'Tax Tables'!$B$34),'Tax Tables'!$B$35),0)</f>
        <v>24</v>
      </c>
      <c r="W14" s="11" t="n">
        <f aca="false">Calculator!$B$5-P14-U14-V14</f>
        <v>399391</v>
      </c>
      <c r="X14" s="11" t="n">
        <f aca="false">'Tax Tables'!$B$22*(MAX(W14,0)-IF(Calculator!$B$10="Yes",MIN(MAX(W14,0),'Tax Tables'!$B$27)*'Tax Tables'!$B$28+MIN(MAX(MAX(W14,0)-'Tax Tables'!$B$27,0),'Tax Tables'!$B$29)*'Tax Tables'!$B$30,MIN(MAX(W14,0),'Tax Tables'!$B$23)*'Tax Tables'!$B$24+MIN(MAX(MAX(W14,0)-'Tax Tables'!$B$23,0),'Tax Tables'!$B$25)*'Tax Tables'!$B$26))*1-MIN('Tax Tables'!$B$22*(MAX(W14,0)-IF(Calculator!$B$10="Yes",MIN(MAX(W14,0),'Tax Tables'!$B$27)*'Tax Tables'!$B$28+MIN(MAX(MAX(W14,0)-'Tax Tables'!$B$27,0),'Tax Tables'!$B$29)*'Tax Tables'!$B$30,MIN(MAX(W14,0),'Tax Tables'!$B$23)*'Tax Tables'!$B$24+MIN(MAX(MAX(W14,0)-'Tax Tables'!$B$23,0),'Tax Tables'!$B$25)*'Tax Tables'!$B$26))*Calculator!$B$11,Calculator!$B$12)</f>
        <v>50471.47</v>
      </c>
      <c r="Y14" s="11" t="n">
        <f aca="false">MAX(W14,0)-X14</f>
        <v>348919.53</v>
      </c>
      <c r="Z14" s="11" t="n">
        <f aca="false">MIN(IF(P14&gt;0,Calculator!$B$13,0)+T14+Calculator!$B$14,'Tax Tables'!$B$36)</f>
        <v>1100</v>
      </c>
      <c r="AA14" s="11" t="n">
        <f aca="false">MAX(P14-Z14,0)</f>
        <v>0</v>
      </c>
      <c r="AB14" s="11" t="n">
        <f aca="false">SUMPRODUCT((AA14&gt;'Tax Tables'!$A$5:$A$17)*(AA14-'Tax Tables'!$A$5:$A$17)*'Tax Tables'!$C$5:$C$17)</f>
        <v>0</v>
      </c>
      <c r="AC14" s="11" t="n">
        <f aca="false">IF(W14&lt;0,-1E+099,P14-T14-AB14+Y14+(T14+U14)*Calculator!$B$9)</f>
        <v>349504.53</v>
      </c>
    </row>
    <row r="15" customFormat="false" ht="15" hidden="false" customHeight="false" outlineLevel="0" collapsed="false">
      <c r="A15" s="11" t="n">
        <f aca="false">2*$B$3</f>
        <v>1000</v>
      </c>
      <c r="B15" s="11" t="n">
        <f aca="false">0</f>
        <v>0</v>
      </c>
      <c r="C15" s="11" t="n">
        <f aca="false">A15-B15</f>
        <v>1000</v>
      </c>
      <c r="D15" s="11" t="n">
        <f aca="false">IF(Calculator!$B$6="Yes",MIN(B15,'Tax Tables'!$B$31*'Tax Tables'!$B$32),0)</f>
        <v>0</v>
      </c>
      <c r="E15" s="11" t="n">
        <f aca="false">D15*Calculator!$B$7</f>
        <v>0</v>
      </c>
      <c r="F15" s="11" t="n">
        <f aca="false">D15*Calculator!$B$8</f>
        <v>0</v>
      </c>
      <c r="G15" s="11" t="n">
        <f aca="false">IF(B15&gt;0,'Tax Tables'!$B$32*MIN(MAX(B15/'Tax Tables'!$B$32*'Tax Tables'!$B$33,'Tax Tables'!$B$34),'Tax Tables'!$B$35),0)</f>
        <v>0</v>
      </c>
      <c r="H15" s="11" t="n">
        <f aca="false">Calculator!$B$5-A15-F15-G15</f>
        <v>399000</v>
      </c>
      <c r="I15" s="11" t="n">
        <f aca="false">'Tax Tables'!$B$22*(MAX(H15,0)-IF(Calculator!$B$10="Yes",MIN(MAX(H15,0),'Tax Tables'!$B$27)*'Tax Tables'!$B$28+MIN(MAX(MAX(H15,0)-'Tax Tables'!$B$27,0),'Tax Tables'!$B$29)*'Tax Tables'!$B$30,MIN(MAX(H15,0),'Tax Tables'!$B$23)*'Tax Tables'!$B$24+MIN(MAX(MAX(H15,0)-'Tax Tables'!$B$23,0),'Tax Tables'!$B$25)*'Tax Tables'!$B$26))*1-MIN('Tax Tables'!$B$22*(MAX(H15,0)-IF(Calculator!$B$10="Yes",MIN(MAX(H15,0),'Tax Tables'!$B$27)*'Tax Tables'!$B$28+MIN(MAX(MAX(H15,0)-'Tax Tables'!$B$27,0),'Tax Tables'!$B$29)*'Tax Tables'!$B$30,MIN(MAX(H15,0),'Tax Tables'!$B$23)*'Tax Tables'!$B$24+MIN(MAX(MAX(H15,0)-'Tax Tables'!$B$23,0),'Tax Tables'!$B$25)*'Tax Tables'!$B$26))*Calculator!$B$11,Calculator!$B$12)</f>
        <v>50405</v>
      </c>
      <c r="J15" s="11" t="n">
        <f aca="false">MAX(H15,0)-I15</f>
        <v>348595</v>
      </c>
      <c r="K15" s="11" t="n">
        <f aca="false">MIN(IF(A15&gt;0,Calculator!$B$13,0)+E15+Calculator!$B$14,'Tax Tables'!$B$36)</f>
        <v>1000</v>
      </c>
      <c r="L15" s="11" t="n">
        <f aca="false">MAX(A15-K15,0)</f>
        <v>0</v>
      </c>
      <c r="M15" s="11" t="n">
        <f aca="false">SUMPRODUCT((L15&gt;'Tax Tables'!$A$5:$A$17)*(L15-'Tax Tables'!$A$5:$A$17)*'Tax Tables'!$C$5:$C$17)</f>
        <v>0</v>
      </c>
      <c r="N15" s="11" t="n">
        <f aca="false">IF(H15&lt;0,-1E+099,A15-E15-M15+J15+(E15+F15)*Calculator!$B$9)</f>
        <v>349595</v>
      </c>
      <c r="O15" s="2"/>
      <c r="P15" s="11" t="n">
        <f aca="false">2*$B$3</f>
        <v>1000</v>
      </c>
      <c r="Q15" s="11" t="n">
        <f aca="false">MIN(P15,'Tax Tables'!$B$31*'Tax Tables'!$B$32)</f>
        <v>1000</v>
      </c>
      <c r="R15" s="11" t="n">
        <f aca="false">P15-Q15</f>
        <v>0</v>
      </c>
      <c r="S15" s="11" t="n">
        <f aca="false">IF(Calculator!$B$6="Yes",MIN(Q15,'Tax Tables'!$B$31*'Tax Tables'!$B$32),0)</f>
        <v>1000</v>
      </c>
      <c r="T15" s="11" t="n">
        <f aca="false">S15*Calculator!$B$7</f>
        <v>200</v>
      </c>
      <c r="U15" s="11" t="n">
        <f aca="false">S15*Calculator!$B$8</f>
        <v>170</v>
      </c>
      <c r="V15" s="11" t="n">
        <f aca="false">IF(Q15&gt;0,'Tax Tables'!$B$32*MIN(MAX(Q15/'Tax Tables'!$B$32*'Tax Tables'!$B$33,'Tax Tables'!$B$34),'Tax Tables'!$B$35),0)</f>
        <v>24</v>
      </c>
      <c r="W15" s="11" t="n">
        <f aca="false">Calculator!$B$5-P15-U15-V15</f>
        <v>398806</v>
      </c>
      <c r="X15" s="11" t="n">
        <f aca="false">'Tax Tables'!$B$22*(MAX(W15,0)-IF(Calculator!$B$10="Yes",MIN(MAX(W15,0),'Tax Tables'!$B$27)*'Tax Tables'!$B$28+MIN(MAX(MAX(W15,0)-'Tax Tables'!$B$27,0),'Tax Tables'!$B$29)*'Tax Tables'!$B$30,MIN(MAX(W15,0),'Tax Tables'!$B$23)*'Tax Tables'!$B$24+MIN(MAX(MAX(W15,0)-'Tax Tables'!$B$23,0),'Tax Tables'!$B$25)*'Tax Tables'!$B$26))*1-MIN('Tax Tables'!$B$22*(MAX(W15,0)-IF(Calculator!$B$10="Yes",MIN(MAX(W15,0),'Tax Tables'!$B$27)*'Tax Tables'!$B$28+MIN(MAX(MAX(W15,0)-'Tax Tables'!$B$27,0),'Tax Tables'!$B$29)*'Tax Tables'!$B$30,MIN(MAX(W15,0),'Tax Tables'!$B$23)*'Tax Tables'!$B$24+MIN(MAX(MAX(W15,0)-'Tax Tables'!$B$23,0),'Tax Tables'!$B$25)*'Tax Tables'!$B$26))*Calculator!$B$11,Calculator!$B$12)</f>
        <v>50372.02</v>
      </c>
      <c r="Y15" s="11" t="n">
        <f aca="false">MAX(W15,0)-X15</f>
        <v>348433.98</v>
      </c>
      <c r="Z15" s="11" t="n">
        <f aca="false">MIN(IF(P15&gt;0,Calculator!$B$13,0)+T15+Calculator!$B$14,'Tax Tables'!$B$36)</f>
        <v>1200</v>
      </c>
      <c r="AA15" s="11" t="n">
        <f aca="false">MAX(P15-Z15,0)</f>
        <v>0</v>
      </c>
      <c r="AB15" s="11" t="n">
        <f aca="false">SUMPRODUCT((AA15&gt;'Tax Tables'!$A$5:$A$17)*(AA15-'Tax Tables'!$A$5:$A$17)*'Tax Tables'!$C$5:$C$17)</f>
        <v>0</v>
      </c>
      <c r="AC15" s="11" t="n">
        <f aca="false">IF(W15&lt;0,-1E+099,P15-T15-AB15+Y15+(T15+U15)*Calculator!$B$9)</f>
        <v>349603.98</v>
      </c>
    </row>
    <row r="16" customFormat="false" ht="15" hidden="false" customHeight="false" outlineLevel="0" collapsed="false">
      <c r="A16" s="11" t="n">
        <f aca="false">3*$B$3</f>
        <v>1500</v>
      </c>
      <c r="B16" s="11" t="n">
        <f aca="false">0</f>
        <v>0</v>
      </c>
      <c r="C16" s="11" t="n">
        <f aca="false">A16-B16</f>
        <v>1500</v>
      </c>
      <c r="D16" s="11" t="n">
        <f aca="false">IF(Calculator!$B$6="Yes",MIN(B16,'Tax Tables'!$B$31*'Tax Tables'!$B$32),0)</f>
        <v>0</v>
      </c>
      <c r="E16" s="11" t="n">
        <f aca="false">D16*Calculator!$B$7</f>
        <v>0</v>
      </c>
      <c r="F16" s="11" t="n">
        <f aca="false">D16*Calculator!$B$8</f>
        <v>0</v>
      </c>
      <c r="G16" s="11" t="n">
        <f aca="false">IF(B16&gt;0,'Tax Tables'!$B$32*MIN(MAX(B16/'Tax Tables'!$B$32*'Tax Tables'!$B$33,'Tax Tables'!$B$34),'Tax Tables'!$B$35),0)</f>
        <v>0</v>
      </c>
      <c r="H16" s="11" t="n">
        <f aca="false">Calculator!$B$5-A16-F16-G16</f>
        <v>398500</v>
      </c>
      <c r="I16" s="11" t="n">
        <f aca="false">'Tax Tables'!$B$22*(MAX(H16,0)-IF(Calculator!$B$10="Yes",MIN(MAX(H16,0),'Tax Tables'!$B$27)*'Tax Tables'!$B$28+MIN(MAX(MAX(H16,0)-'Tax Tables'!$B$27,0),'Tax Tables'!$B$29)*'Tax Tables'!$B$30,MIN(MAX(H16,0),'Tax Tables'!$B$23)*'Tax Tables'!$B$24+MIN(MAX(MAX(H16,0)-'Tax Tables'!$B$23,0),'Tax Tables'!$B$25)*'Tax Tables'!$B$26))*1-MIN('Tax Tables'!$B$22*(MAX(H16,0)-IF(Calculator!$B$10="Yes",MIN(MAX(H16,0),'Tax Tables'!$B$27)*'Tax Tables'!$B$28+MIN(MAX(MAX(H16,0)-'Tax Tables'!$B$27,0),'Tax Tables'!$B$29)*'Tax Tables'!$B$30,MIN(MAX(H16,0),'Tax Tables'!$B$23)*'Tax Tables'!$B$24+MIN(MAX(MAX(H16,0)-'Tax Tables'!$B$23,0),'Tax Tables'!$B$25)*'Tax Tables'!$B$26))*Calculator!$B$11,Calculator!$B$12)</f>
        <v>50320</v>
      </c>
      <c r="J16" s="11" t="n">
        <f aca="false">MAX(H16,0)-I16</f>
        <v>348180</v>
      </c>
      <c r="K16" s="11" t="n">
        <f aca="false">MIN(IF(A16&gt;0,Calculator!$B$13,0)+E16+Calculator!$B$14,'Tax Tables'!$B$36)</f>
        <v>1000</v>
      </c>
      <c r="L16" s="11" t="n">
        <f aca="false">MAX(A16-K16,0)</f>
        <v>500</v>
      </c>
      <c r="M16" s="11" t="n">
        <f aca="false">SUMPRODUCT((L16&gt;'Tax Tables'!$A$5:$A$17)*(L16-'Tax Tables'!$A$5:$A$17)*'Tax Tables'!$C$5:$C$17)</f>
        <v>0</v>
      </c>
      <c r="N16" s="11" t="n">
        <f aca="false">IF(H16&lt;0,-1E+099,A16-E16-M16+J16+(E16+F16)*Calculator!$B$9)</f>
        <v>349680</v>
      </c>
      <c r="O16" s="2"/>
      <c r="P16" s="11" t="n">
        <f aca="false">3*$B$3</f>
        <v>1500</v>
      </c>
      <c r="Q16" s="11" t="n">
        <f aca="false">MIN(P16,'Tax Tables'!$B$31*'Tax Tables'!$B$32)</f>
        <v>1500</v>
      </c>
      <c r="R16" s="11" t="n">
        <f aca="false">P16-Q16</f>
        <v>0</v>
      </c>
      <c r="S16" s="11" t="n">
        <f aca="false">IF(Calculator!$B$6="Yes",MIN(Q16,'Tax Tables'!$B$31*'Tax Tables'!$B$32),0)</f>
        <v>1500</v>
      </c>
      <c r="T16" s="11" t="n">
        <f aca="false">S16*Calculator!$B$7</f>
        <v>300</v>
      </c>
      <c r="U16" s="11" t="n">
        <f aca="false">S16*Calculator!$B$8</f>
        <v>255</v>
      </c>
      <c r="V16" s="11" t="n">
        <f aca="false">IF(Q16&gt;0,'Tax Tables'!$B$32*MIN(MAX(Q16/'Tax Tables'!$B$32*'Tax Tables'!$B$33,'Tax Tables'!$B$34),'Tax Tables'!$B$35),0)</f>
        <v>24</v>
      </c>
      <c r="W16" s="11" t="n">
        <f aca="false">Calculator!$B$5-P16-U16-V16</f>
        <v>398221</v>
      </c>
      <c r="X16" s="11" t="n">
        <f aca="false">'Tax Tables'!$B$22*(MAX(W16,0)-IF(Calculator!$B$10="Yes",MIN(MAX(W16,0),'Tax Tables'!$B$27)*'Tax Tables'!$B$28+MIN(MAX(MAX(W16,0)-'Tax Tables'!$B$27,0),'Tax Tables'!$B$29)*'Tax Tables'!$B$30,MIN(MAX(W16,0),'Tax Tables'!$B$23)*'Tax Tables'!$B$24+MIN(MAX(MAX(W16,0)-'Tax Tables'!$B$23,0),'Tax Tables'!$B$25)*'Tax Tables'!$B$26))*1-MIN('Tax Tables'!$B$22*(MAX(W16,0)-IF(Calculator!$B$10="Yes",MIN(MAX(W16,0),'Tax Tables'!$B$27)*'Tax Tables'!$B$28+MIN(MAX(MAX(W16,0)-'Tax Tables'!$B$27,0),'Tax Tables'!$B$29)*'Tax Tables'!$B$30,MIN(MAX(W16,0),'Tax Tables'!$B$23)*'Tax Tables'!$B$24+MIN(MAX(MAX(W16,0)-'Tax Tables'!$B$23,0),'Tax Tables'!$B$25)*'Tax Tables'!$B$26))*Calculator!$B$11,Calculator!$B$12)</f>
        <v>50272.57</v>
      </c>
      <c r="Y16" s="11" t="n">
        <f aca="false">MAX(W16,0)-X16</f>
        <v>347948.43</v>
      </c>
      <c r="Z16" s="11" t="n">
        <f aca="false">MIN(IF(P16&gt;0,Calculator!$B$13,0)+T16+Calculator!$B$14,'Tax Tables'!$B$36)</f>
        <v>1300</v>
      </c>
      <c r="AA16" s="11" t="n">
        <f aca="false">MAX(P16-Z16,0)</f>
        <v>200</v>
      </c>
      <c r="AB16" s="11" t="n">
        <f aca="false">SUMPRODUCT((AA16&gt;'Tax Tables'!$A$5:$A$17)*(AA16-'Tax Tables'!$A$5:$A$17)*'Tax Tables'!$C$5:$C$17)</f>
        <v>0</v>
      </c>
      <c r="AC16" s="11" t="n">
        <f aca="false">IF(W16&lt;0,-1E+099,P16-T16-AB16+Y16+(T16+U16)*Calculator!$B$9)</f>
        <v>349703.43</v>
      </c>
    </row>
    <row r="17" customFormat="false" ht="15" hidden="false" customHeight="false" outlineLevel="0" collapsed="false">
      <c r="A17" s="11" t="n">
        <f aca="false">4*$B$3</f>
        <v>2000</v>
      </c>
      <c r="B17" s="11" t="n">
        <f aca="false">0</f>
        <v>0</v>
      </c>
      <c r="C17" s="11" t="n">
        <f aca="false">A17-B17</f>
        <v>2000</v>
      </c>
      <c r="D17" s="11" t="n">
        <f aca="false">IF(Calculator!$B$6="Yes",MIN(B17,'Tax Tables'!$B$31*'Tax Tables'!$B$32),0)</f>
        <v>0</v>
      </c>
      <c r="E17" s="11" t="n">
        <f aca="false">D17*Calculator!$B$7</f>
        <v>0</v>
      </c>
      <c r="F17" s="11" t="n">
        <f aca="false">D17*Calculator!$B$8</f>
        <v>0</v>
      </c>
      <c r="G17" s="11" t="n">
        <f aca="false">IF(B17&gt;0,'Tax Tables'!$B$32*MIN(MAX(B17/'Tax Tables'!$B$32*'Tax Tables'!$B$33,'Tax Tables'!$B$34),'Tax Tables'!$B$35),0)</f>
        <v>0</v>
      </c>
      <c r="H17" s="11" t="n">
        <f aca="false">Calculator!$B$5-A17-F17-G17</f>
        <v>398000</v>
      </c>
      <c r="I17" s="11" t="n">
        <f aca="false">'Tax Tables'!$B$22*(MAX(H17,0)-IF(Calculator!$B$10="Yes",MIN(MAX(H17,0),'Tax Tables'!$B$27)*'Tax Tables'!$B$28+MIN(MAX(MAX(H17,0)-'Tax Tables'!$B$27,0),'Tax Tables'!$B$29)*'Tax Tables'!$B$30,MIN(MAX(H17,0),'Tax Tables'!$B$23)*'Tax Tables'!$B$24+MIN(MAX(MAX(H17,0)-'Tax Tables'!$B$23,0),'Tax Tables'!$B$25)*'Tax Tables'!$B$26))*1-MIN('Tax Tables'!$B$22*(MAX(H17,0)-IF(Calculator!$B$10="Yes",MIN(MAX(H17,0),'Tax Tables'!$B$27)*'Tax Tables'!$B$28+MIN(MAX(MAX(H17,0)-'Tax Tables'!$B$27,0),'Tax Tables'!$B$29)*'Tax Tables'!$B$30,MIN(MAX(H17,0),'Tax Tables'!$B$23)*'Tax Tables'!$B$24+MIN(MAX(MAX(H17,0)-'Tax Tables'!$B$23,0),'Tax Tables'!$B$25)*'Tax Tables'!$B$26))*Calculator!$B$11,Calculator!$B$12)</f>
        <v>50235</v>
      </c>
      <c r="J17" s="11" t="n">
        <f aca="false">MAX(H17,0)-I17</f>
        <v>347765</v>
      </c>
      <c r="K17" s="11" t="n">
        <f aca="false">MIN(IF(A17&gt;0,Calculator!$B$13,0)+E17+Calculator!$B$14,'Tax Tables'!$B$36)</f>
        <v>1000</v>
      </c>
      <c r="L17" s="11" t="n">
        <f aca="false">MAX(A17-K17,0)</f>
        <v>1000</v>
      </c>
      <c r="M17" s="11" t="n">
        <f aca="false">SUMPRODUCT((L17&gt;'Tax Tables'!$A$5:$A$17)*(L17-'Tax Tables'!$A$5:$A$17)*'Tax Tables'!$C$5:$C$17)</f>
        <v>0</v>
      </c>
      <c r="N17" s="11" t="n">
        <f aca="false">IF(H17&lt;0,-1E+099,A17-E17-M17+J17+(E17+F17)*Calculator!$B$9)</f>
        <v>349765</v>
      </c>
      <c r="O17" s="2"/>
      <c r="P17" s="11" t="n">
        <f aca="false">4*$B$3</f>
        <v>2000</v>
      </c>
      <c r="Q17" s="11" t="n">
        <f aca="false">MIN(P17,'Tax Tables'!$B$31*'Tax Tables'!$B$32)</f>
        <v>2000</v>
      </c>
      <c r="R17" s="11" t="n">
        <f aca="false">P17-Q17</f>
        <v>0</v>
      </c>
      <c r="S17" s="11" t="n">
        <f aca="false">IF(Calculator!$B$6="Yes",MIN(Q17,'Tax Tables'!$B$31*'Tax Tables'!$B$32),0)</f>
        <v>2000</v>
      </c>
      <c r="T17" s="11" t="n">
        <f aca="false">S17*Calculator!$B$7</f>
        <v>400</v>
      </c>
      <c r="U17" s="11" t="n">
        <f aca="false">S17*Calculator!$B$8</f>
        <v>340</v>
      </c>
      <c r="V17" s="11" t="n">
        <f aca="false">IF(Q17&gt;0,'Tax Tables'!$B$32*MIN(MAX(Q17/'Tax Tables'!$B$32*'Tax Tables'!$B$33,'Tax Tables'!$B$34),'Tax Tables'!$B$35),0)</f>
        <v>24</v>
      </c>
      <c r="W17" s="11" t="n">
        <f aca="false">Calculator!$B$5-P17-U17-V17</f>
        <v>397636</v>
      </c>
      <c r="X17" s="11" t="n">
        <f aca="false">'Tax Tables'!$B$22*(MAX(W17,0)-IF(Calculator!$B$10="Yes",MIN(MAX(W17,0),'Tax Tables'!$B$27)*'Tax Tables'!$B$28+MIN(MAX(MAX(W17,0)-'Tax Tables'!$B$27,0),'Tax Tables'!$B$29)*'Tax Tables'!$B$30,MIN(MAX(W17,0),'Tax Tables'!$B$23)*'Tax Tables'!$B$24+MIN(MAX(MAX(W17,0)-'Tax Tables'!$B$23,0),'Tax Tables'!$B$25)*'Tax Tables'!$B$26))*1-MIN('Tax Tables'!$B$22*(MAX(W17,0)-IF(Calculator!$B$10="Yes",MIN(MAX(W17,0),'Tax Tables'!$B$27)*'Tax Tables'!$B$28+MIN(MAX(MAX(W17,0)-'Tax Tables'!$B$27,0),'Tax Tables'!$B$29)*'Tax Tables'!$B$30,MIN(MAX(W17,0),'Tax Tables'!$B$23)*'Tax Tables'!$B$24+MIN(MAX(MAX(W17,0)-'Tax Tables'!$B$23,0),'Tax Tables'!$B$25)*'Tax Tables'!$B$26))*Calculator!$B$11,Calculator!$B$12)</f>
        <v>50173.12</v>
      </c>
      <c r="Y17" s="11" t="n">
        <f aca="false">MAX(W17,0)-X17</f>
        <v>347462.88</v>
      </c>
      <c r="Z17" s="11" t="n">
        <f aca="false">MIN(IF(P17&gt;0,Calculator!$B$13,0)+T17+Calculator!$B$14,'Tax Tables'!$B$36)</f>
        <v>1400</v>
      </c>
      <c r="AA17" s="11" t="n">
        <f aca="false">MAX(P17-Z17,0)</f>
        <v>600</v>
      </c>
      <c r="AB17" s="11" t="n">
        <f aca="false">SUMPRODUCT((AA17&gt;'Tax Tables'!$A$5:$A$17)*(AA17-'Tax Tables'!$A$5:$A$17)*'Tax Tables'!$C$5:$C$17)</f>
        <v>0</v>
      </c>
      <c r="AC17" s="11" t="n">
        <f aca="false">IF(W17&lt;0,-1E+099,P17-T17-AB17+Y17+(T17+U17)*Calculator!$B$9)</f>
        <v>349802.88</v>
      </c>
    </row>
    <row r="18" customFormat="false" ht="15" hidden="false" customHeight="false" outlineLevel="0" collapsed="false">
      <c r="A18" s="11" t="n">
        <f aca="false">5*$B$3</f>
        <v>2500</v>
      </c>
      <c r="B18" s="11" t="n">
        <f aca="false">0</f>
        <v>0</v>
      </c>
      <c r="C18" s="11" t="n">
        <f aca="false">A18-B18</f>
        <v>2500</v>
      </c>
      <c r="D18" s="11" t="n">
        <f aca="false">IF(Calculator!$B$6="Yes",MIN(B18,'Tax Tables'!$B$31*'Tax Tables'!$B$32),0)</f>
        <v>0</v>
      </c>
      <c r="E18" s="11" t="n">
        <f aca="false">D18*Calculator!$B$7</f>
        <v>0</v>
      </c>
      <c r="F18" s="11" t="n">
        <f aca="false">D18*Calculator!$B$8</f>
        <v>0</v>
      </c>
      <c r="G18" s="11" t="n">
        <f aca="false">IF(B18&gt;0,'Tax Tables'!$B$32*MIN(MAX(B18/'Tax Tables'!$B$32*'Tax Tables'!$B$33,'Tax Tables'!$B$34),'Tax Tables'!$B$35),0)</f>
        <v>0</v>
      </c>
      <c r="H18" s="11" t="n">
        <f aca="false">Calculator!$B$5-A18-F18-G18</f>
        <v>397500</v>
      </c>
      <c r="I18" s="11" t="n">
        <f aca="false">'Tax Tables'!$B$22*(MAX(H18,0)-IF(Calculator!$B$10="Yes",MIN(MAX(H18,0),'Tax Tables'!$B$27)*'Tax Tables'!$B$28+MIN(MAX(MAX(H18,0)-'Tax Tables'!$B$27,0),'Tax Tables'!$B$29)*'Tax Tables'!$B$30,MIN(MAX(H18,0),'Tax Tables'!$B$23)*'Tax Tables'!$B$24+MIN(MAX(MAX(H18,0)-'Tax Tables'!$B$23,0),'Tax Tables'!$B$25)*'Tax Tables'!$B$26))*1-MIN('Tax Tables'!$B$22*(MAX(H18,0)-IF(Calculator!$B$10="Yes",MIN(MAX(H18,0),'Tax Tables'!$B$27)*'Tax Tables'!$B$28+MIN(MAX(MAX(H18,0)-'Tax Tables'!$B$27,0),'Tax Tables'!$B$29)*'Tax Tables'!$B$30,MIN(MAX(H18,0),'Tax Tables'!$B$23)*'Tax Tables'!$B$24+MIN(MAX(MAX(H18,0)-'Tax Tables'!$B$23,0),'Tax Tables'!$B$25)*'Tax Tables'!$B$26))*Calculator!$B$11,Calculator!$B$12)</f>
        <v>50150</v>
      </c>
      <c r="J18" s="11" t="n">
        <f aca="false">MAX(H18,0)-I18</f>
        <v>347350</v>
      </c>
      <c r="K18" s="11" t="n">
        <f aca="false">MIN(IF(A18&gt;0,Calculator!$B$13,0)+E18+Calculator!$B$14,'Tax Tables'!$B$36)</f>
        <v>1000</v>
      </c>
      <c r="L18" s="11" t="n">
        <f aca="false">MAX(A18-K18,0)</f>
        <v>1500</v>
      </c>
      <c r="M18" s="11" t="n">
        <f aca="false">SUMPRODUCT((L18&gt;'Tax Tables'!$A$5:$A$17)*(L18-'Tax Tables'!$A$5:$A$17)*'Tax Tables'!$C$5:$C$17)</f>
        <v>0</v>
      </c>
      <c r="N18" s="11" t="n">
        <f aca="false">IF(H18&lt;0,-1E+099,A18-E18-M18+J18+(E18+F18)*Calculator!$B$9)</f>
        <v>349850</v>
      </c>
      <c r="O18" s="2"/>
      <c r="P18" s="11" t="n">
        <f aca="false">5*$B$3</f>
        <v>2500</v>
      </c>
      <c r="Q18" s="11" t="n">
        <f aca="false">MIN(P18,'Tax Tables'!$B$31*'Tax Tables'!$B$32)</f>
        <v>2500</v>
      </c>
      <c r="R18" s="11" t="n">
        <f aca="false">P18-Q18</f>
        <v>0</v>
      </c>
      <c r="S18" s="11" t="n">
        <f aca="false">IF(Calculator!$B$6="Yes",MIN(Q18,'Tax Tables'!$B$31*'Tax Tables'!$B$32),0)</f>
        <v>2500</v>
      </c>
      <c r="T18" s="11" t="n">
        <f aca="false">S18*Calculator!$B$7</f>
        <v>500</v>
      </c>
      <c r="U18" s="11" t="n">
        <f aca="false">S18*Calculator!$B$8</f>
        <v>425</v>
      </c>
      <c r="V18" s="11" t="n">
        <f aca="false">IF(Q18&gt;0,'Tax Tables'!$B$32*MIN(MAX(Q18/'Tax Tables'!$B$32*'Tax Tables'!$B$33,'Tax Tables'!$B$34),'Tax Tables'!$B$35),0)</f>
        <v>24</v>
      </c>
      <c r="W18" s="11" t="n">
        <f aca="false">Calculator!$B$5-P18-U18-V18</f>
        <v>397051</v>
      </c>
      <c r="X18" s="11" t="n">
        <f aca="false">'Tax Tables'!$B$22*(MAX(W18,0)-IF(Calculator!$B$10="Yes",MIN(MAX(W18,0),'Tax Tables'!$B$27)*'Tax Tables'!$B$28+MIN(MAX(MAX(W18,0)-'Tax Tables'!$B$27,0),'Tax Tables'!$B$29)*'Tax Tables'!$B$30,MIN(MAX(W18,0),'Tax Tables'!$B$23)*'Tax Tables'!$B$24+MIN(MAX(MAX(W18,0)-'Tax Tables'!$B$23,0),'Tax Tables'!$B$25)*'Tax Tables'!$B$26))*1-MIN('Tax Tables'!$B$22*(MAX(W18,0)-IF(Calculator!$B$10="Yes",MIN(MAX(W18,0),'Tax Tables'!$B$27)*'Tax Tables'!$B$28+MIN(MAX(MAX(W18,0)-'Tax Tables'!$B$27,0),'Tax Tables'!$B$29)*'Tax Tables'!$B$30,MIN(MAX(W18,0),'Tax Tables'!$B$23)*'Tax Tables'!$B$24+MIN(MAX(MAX(W18,0)-'Tax Tables'!$B$23,0),'Tax Tables'!$B$25)*'Tax Tables'!$B$26))*Calculator!$B$11,Calculator!$B$12)</f>
        <v>50073.67</v>
      </c>
      <c r="Y18" s="11" t="n">
        <f aca="false">MAX(W18,0)-X18</f>
        <v>346977.33</v>
      </c>
      <c r="Z18" s="11" t="n">
        <f aca="false">MIN(IF(P18&gt;0,Calculator!$B$13,0)+T18+Calculator!$B$14,'Tax Tables'!$B$36)</f>
        <v>1500</v>
      </c>
      <c r="AA18" s="11" t="n">
        <f aca="false">MAX(P18-Z18,0)</f>
        <v>1000</v>
      </c>
      <c r="AB18" s="11" t="n">
        <f aca="false">SUMPRODUCT((AA18&gt;'Tax Tables'!$A$5:$A$17)*(AA18-'Tax Tables'!$A$5:$A$17)*'Tax Tables'!$C$5:$C$17)</f>
        <v>0</v>
      </c>
      <c r="AC18" s="11" t="n">
        <f aca="false">IF(W18&lt;0,-1E+099,P18-T18-AB18+Y18+(T18+U18)*Calculator!$B$9)</f>
        <v>349902.33</v>
      </c>
    </row>
    <row r="19" customFormat="false" ht="15" hidden="false" customHeight="false" outlineLevel="0" collapsed="false">
      <c r="A19" s="11" t="n">
        <f aca="false">6*$B$3</f>
        <v>3000</v>
      </c>
      <c r="B19" s="11" t="n">
        <f aca="false">0</f>
        <v>0</v>
      </c>
      <c r="C19" s="11" t="n">
        <f aca="false">A19-B19</f>
        <v>3000</v>
      </c>
      <c r="D19" s="11" t="n">
        <f aca="false">IF(Calculator!$B$6="Yes",MIN(B19,'Tax Tables'!$B$31*'Tax Tables'!$B$32),0)</f>
        <v>0</v>
      </c>
      <c r="E19" s="11" t="n">
        <f aca="false">D19*Calculator!$B$7</f>
        <v>0</v>
      </c>
      <c r="F19" s="11" t="n">
        <f aca="false">D19*Calculator!$B$8</f>
        <v>0</v>
      </c>
      <c r="G19" s="11" t="n">
        <f aca="false">IF(B19&gt;0,'Tax Tables'!$B$32*MIN(MAX(B19/'Tax Tables'!$B$32*'Tax Tables'!$B$33,'Tax Tables'!$B$34),'Tax Tables'!$B$35),0)</f>
        <v>0</v>
      </c>
      <c r="H19" s="11" t="n">
        <f aca="false">Calculator!$B$5-A19-F19-G19</f>
        <v>397000</v>
      </c>
      <c r="I19" s="11" t="n">
        <f aca="false">'Tax Tables'!$B$22*(MAX(H19,0)-IF(Calculator!$B$10="Yes",MIN(MAX(H19,0),'Tax Tables'!$B$27)*'Tax Tables'!$B$28+MIN(MAX(MAX(H19,0)-'Tax Tables'!$B$27,0),'Tax Tables'!$B$29)*'Tax Tables'!$B$30,MIN(MAX(H19,0),'Tax Tables'!$B$23)*'Tax Tables'!$B$24+MIN(MAX(MAX(H19,0)-'Tax Tables'!$B$23,0),'Tax Tables'!$B$25)*'Tax Tables'!$B$26))*1-MIN('Tax Tables'!$B$22*(MAX(H19,0)-IF(Calculator!$B$10="Yes",MIN(MAX(H19,0),'Tax Tables'!$B$27)*'Tax Tables'!$B$28+MIN(MAX(MAX(H19,0)-'Tax Tables'!$B$27,0),'Tax Tables'!$B$29)*'Tax Tables'!$B$30,MIN(MAX(H19,0),'Tax Tables'!$B$23)*'Tax Tables'!$B$24+MIN(MAX(MAX(H19,0)-'Tax Tables'!$B$23,0),'Tax Tables'!$B$25)*'Tax Tables'!$B$26))*Calculator!$B$11,Calculator!$B$12)</f>
        <v>50065</v>
      </c>
      <c r="J19" s="11" t="n">
        <f aca="false">MAX(H19,0)-I19</f>
        <v>346935</v>
      </c>
      <c r="K19" s="11" t="n">
        <f aca="false">MIN(IF(A19&gt;0,Calculator!$B$13,0)+E19+Calculator!$B$14,'Tax Tables'!$B$36)</f>
        <v>1000</v>
      </c>
      <c r="L19" s="11" t="n">
        <f aca="false">MAX(A19-K19,0)</f>
        <v>2000</v>
      </c>
      <c r="M19" s="11" t="n">
        <f aca="false">SUMPRODUCT((L19&gt;'Tax Tables'!$A$5:$A$17)*(L19-'Tax Tables'!$A$5:$A$17)*'Tax Tables'!$C$5:$C$17)</f>
        <v>0</v>
      </c>
      <c r="N19" s="11" t="n">
        <f aca="false">IF(H19&lt;0,-1E+099,A19-E19-M19+J19+(E19+F19)*Calculator!$B$9)</f>
        <v>349935</v>
      </c>
      <c r="O19" s="2"/>
      <c r="P19" s="11" t="n">
        <f aca="false">6*$B$3</f>
        <v>3000</v>
      </c>
      <c r="Q19" s="11" t="n">
        <f aca="false">MIN(P19,'Tax Tables'!$B$31*'Tax Tables'!$B$32)</f>
        <v>3000</v>
      </c>
      <c r="R19" s="11" t="n">
        <f aca="false">P19-Q19</f>
        <v>0</v>
      </c>
      <c r="S19" s="11" t="n">
        <f aca="false">IF(Calculator!$B$6="Yes",MIN(Q19,'Tax Tables'!$B$31*'Tax Tables'!$B$32),0)</f>
        <v>3000</v>
      </c>
      <c r="T19" s="11" t="n">
        <f aca="false">S19*Calculator!$B$7</f>
        <v>600</v>
      </c>
      <c r="U19" s="11" t="n">
        <f aca="false">S19*Calculator!$B$8</f>
        <v>510</v>
      </c>
      <c r="V19" s="11" t="n">
        <f aca="false">IF(Q19&gt;0,'Tax Tables'!$B$32*MIN(MAX(Q19/'Tax Tables'!$B$32*'Tax Tables'!$B$33,'Tax Tables'!$B$34),'Tax Tables'!$B$35),0)</f>
        <v>24</v>
      </c>
      <c r="W19" s="11" t="n">
        <f aca="false">Calculator!$B$5-P19-U19-V19</f>
        <v>396466</v>
      </c>
      <c r="X19" s="11" t="n">
        <f aca="false">'Tax Tables'!$B$22*(MAX(W19,0)-IF(Calculator!$B$10="Yes",MIN(MAX(W19,0),'Tax Tables'!$B$27)*'Tax Tables'!$B$28+MIN(MAX(MAX(W19,0)-'Tax Tables'!$B$27,0),'Tax Tables'!$B$29)*'Tax Tables'!$B$30,MIN(MAX(W19,0),'Tax Tables'!$B$23)*'Tax Tables'!$B$24+MIN(MAX(MAX(W19,0)-'Tax Tables'!$B$23,0),'Tax Tables'!$B$25)*'Tax Tables'!$B$26))*1-MIN('Tax Tables'!$B$22*(MAX(W19,0)-IF(Calculator!$B$10="Yes",MIN(MAX(W19,0),'Tax Tables'!$B$27)*'Tax Tables'!$B$28+MIN(MAX(MAX(W19,0)-'Tax Tables'!$B$27,0),'Tax Tables'!$B$29)*'Tax Tables'!$B$30,MIN(MAX(W19,0),'Tax Tables'!$B$23)*'Tax Tables'!$B$24+MIN(MAX(MAX(W19,0)-'Tax Tables'!$B$23,0),'Tax Tables'!$B$25)*'Tax Tables'!$B$26))*Calculator!$B$11,Calculator!$B$12)</f>
        <v>49974.22</v>
      </c>
      <c r="Y19" s="11" t="n">
        <f aca="false">MAX(W19,0)-X19</f>
        <v>346491.78</v>
      </c>
      <c r="Z19" s="11" t="n">
        <f aca="false">MIN(IF(P19&gt;0,Calculator!$B$13,0)+T19+Calculator!$B$14,'Tax Tables'!$B$36)</f>
        <v>1600</v>
      </c>
      <c r="AA19" s="11" t="n">
        <f aca="false">MAX(P19-Z19,0)</f>
        <v>1400</v>
      </c>
      <c r="AB19" s="11" t="n">
        <f aca="false">SUMPRODUCT((AA19&gt;'Tax Tables'!$A$5:$A$17)*(AA19-'Tax Tables'!$A$5:$A$17)*'Tax Tables'!$C$5:$C$17)</f>
        <v>0</v>
      </c>
      <c r="AC19" s="11" t="n">
        <f aca="false">IF(W19&lt;0,-1E+099,P19-T19-AB19+Y19+(T19+U19)*Calculator!$B$9)</f>
        <v>350001.78</v>
      </c>
    </row>
    <row r="20" customFormat="false" ht="15" hidden="false" customHeight="false" outlineLevel="0" collapsed="false">
      <c r="A20" s="11" t="n">
        <f aca="false">7*$B$3</f>
        <v>3500</v>
      </c>
      <c r="B20" s="11" t="n">
        <f aca="false">0</f>
        <v>0</v>
      </c>
      <c r="C20" s="11" t="n">
        <f aca="false">A20-B20</f>
        <v>3500</v>
      </c>
      <c r="D20" s="11" t="n">
        <f aca="false">IF(Calculator!$B$6="Yes",MIN(B20,'Tax Tables'!$B$31*'Tax Tables'!$B$32),0)</f>
        <v>0</v>
      </c>
      <c r="E20" s="11" t="n">
        <f aca="false">D20*Calculator!$B$7</f>
        <v>0</v>
      </c>
      <c r="F20" s="11" t="n">
        <f aca="false">D20*Calculator!$B$8</f>
        <v>0</v>
      </c>
      <c r="G20" s="11" t="n">
        <f aca="false">IF(B20&gt;0,'Tax Tables'!$B$32*MIN(MAX(B20/'Tax Tables'!$B$32*'Tax Tables'!$B$33,'Tax Tables'!$B$34),'Tax Tables'!$B$35),0)</f>
        <v>0</v>
      </c>
      <c r="H20" s="11" t="n">
        <f aca="false">Calculator!$B$5-A20-F20-G20</f>
        <v>396500</v>
      </c>
      <c r="I20" s="11" t="n">
        <f aca="false">'Tax Tables'!$B$22*(MAX(H20,0)-IF(Calculator!$B$10="Yes",MIN(MAX(H20,0),'Tax Tables'!$B$27)*'Tax Tables'!$B$28+MIN(MAX(MAX(H20,0)-'Tax Tables'!$B$27,0),'Tax Tables'!$B$29)*'Tax Tables'!$B$30,MIN(MAX(H20,0),'Tax Tables'!$B$23)*'Tax Tables'!$B$24+MIN(MAX(MAX(H20,0)-'Tax Tables'!$B$23,0),'Tax Tables'!$B$25)*'Tax Tables'!$B$26))*1-MIN('Tax Tables'!$B$22*(MAX(H20,0)-IF(Calculator!$B$10="Yes",MIN(MAX(H20,0),'Tax Tables'!$B$27)*'Tax Tables'!$B$28+MIN(MAX(MAX(H20,0)-'Tax Tables'!$B$27,0),'Tax Tables'!$B$29)*'Tax Tables'!$B$30,MIN(MAX(H20,0),'Tax Tables'!$B$23)*'Tax Tables'!$B$24+MIN(MAX(MAX(H20,0)-'Tax Tables'!$B$23,0),'Tax Tables'!$B$25)*'Tax Tables'!$B$26))*Calculator!$B$11,Calculator!$B$12)</f>
        <v>49980</v>
      </c>
      <c r="J20" s="11" t="n">
        <f aca="false">MAX(H20,0)-I20</f>
        <v>346520</v>
      </c>
      <c r="K20" s="11" t="n">
        <f aca="false">MIN(IF(A20&gt;0,Calculator!$B$13,0)+E20+Calculator!$B$14,'Tax Tables'!$B$36)</f>
        <v>1000</v>
      </c>
      <c r="L20" s="11" t="n">
        <f aca="false">MAX(A20-K20,0)</f>
        <v>2500</v>
      </c>
      <c r="M20" s="11" t="n">
        <f aca="false">SUMPRODUCT((L20&gt;'Tax Tables'!$A$5:$A$17)*(L20-'Tax Tables'!$A$5:$A$17)*'Tax Tables'!$C$5:$C$17)</f>
        <v>0</v>
      </c>
      <c r="N20" s="11" t="n">
        <f aca="false">IF(H20&lt;0,-1E+099,A20-E20-M20+J20+(E20+F20)*Calculator!$B$9)</f>
        <v>350020</v>
      </c>
      <c r="O20" s="2"/>
      <c r="P20" s="11" t="n">
        <f aca="false">7*$B$3</f>
        <v>3500</v>
      </c>
      <c r="Q20" s="11" t="n">
        <f aca="false">MIN(P20,'Tax Tables'!$B$31*'Tax Tables'!$B$32)</f>
        <v>3500</v>
      </c>
      <c r="R20" s="11" t="n">
        <f aca="false">P20-Q20</f>
        <v>0</v>
      </c>
      <c r="S20" s="11" t="n">
        <f aca="false">IF(Calculator!$B$6="Yes",MIN(Q20,'Tax Tables'!$B$31*'Tax Tables'!$B$32),0)</f>
        <v>3500</v>
      </c>
      <c r="T20" s="11" t="n">
        <f aca="false">S20*Calculator!$B$7</f>
        <v>700</v>
      </c>
      <c r="U20" s="11" t="n">
        <f aca="false">S20*Calculator!$B$8</f>
        <v>595</v>
      </c>
      <c r="V20" s="11" t="n">
        <f aca="false">IF(Q20&gt;0,'Tax Tables'!$B$32*MIN(MAX(Q20/'Tax Tables'!$B$32*'Tax Tables'!$B$33,'Tax Tables'!$B$34),'Tax Tables'!$B$35),0)</f>
        <v>24</v>
      </c>
      <c r="W20" s="11" t="n">
        <f aca="false">Calculator!$B$5-P20-U20-V20</f>
        <v>395881</v>
      </c>
      <c r="X20" s="11" t="n">
        <f aca="false">'Tax Tables'!$B$22*(MAX(W20,0)-IF(Calculator!$B$10="Yes",MIN(MAX(W20,0),'Tax Tables'!$B$27)*'Tax Tables'!$B$28+MIN(MAX(MAX(W20,0)-'Tax Tables'!$B$27,0),'Tax Tables'!$B$29)*'Tax Tables'!$B$30,MIN(MAX(W20,0),'Tax Tables'!$B$23)*'Tax Tables'!$B$24+MIN(MAX(MAX(W20,0)-'Tax Tables'!$B$23,0),'Tax Tables'!$B$25)*'Tax Tables'!$B$26))*1-MIN('Tax Tables'!$B$22*(MAX(W20,0)-IF(Calculator!$B$10="Yes",MIN(MAX(W20,0),'Tax Tables'!$B$27)*'Tax Tables'!$B$28+MIN(MAX(MAX(W20,0)-'Tax Tables'!$B$27,0),'Tax Tables'!$B$29)*'Tax Tables'!$B$30,MIN(MAX(W20,0),'Tax Tables'!$B$23)*'Tax Tables'!$B$24+MIN(MAX(MAX(W20,0)-'Tax Tables'!$B$23,0),'Tax Tables'!$B$25)*'Tax Tables'!$B$26))*Calculator!$B$11,Calculator!$B$12)</f>
        <v>49874.77</v>
      </c>
      <c r="Y20" s="11" t="n">
        <f aca="false">MAX(W20,0)-X20</f>
        <v>346006.23</v>
      </c>
      <c r="Z20" s="11" t="n">
        <f aca="false">MIN(IF(P20&gt;0,Calculator!$B$13,0)+T20+Calculator!$B$14,'Tax Tables'!$B$36)</f>
        <v>1700</v>
      </c>
      <c r="AA20" s="11" t="n">
        <f aca="false">MAX(P20-Z20,0)</f>
        <v>1800</v>
      </c>
      <c r="AB20" s="11" t="n">
        <f aca="false">SUMPRODUCT((AA20&gt;'Tax Tables'!$A$5:$A$17)*(AA20-'Tax Tables'!$A$5:$A$17)*'Tax Tables'!$C$5:$C$17)</f>
        <v>0</v>
      </c>
      <c r="AC20" s="11" t="n">
        <f aca="false">IF(W20&lt;0,-1E+099,P20-T20-AB20+Y20+(T20+U20)*Calculator!$B$9)</f>
        <v>350101.23</v>
      </c>
    </row>
    <row r="21" customFormat="false" ht="15" hidden="false" customHeight="false" outlineLevel="0" collapsed="false">
      <c r="A21" s="11" t="n">
        <f aca="false">8*$B$3</f>
        <v>4000</v>
      </c>
      <c r="B21" s="11" t="n">
        <f aca="false">0</f>
        <v>0</v>
      </c>
      <c r="C21" s="11" t="n">
        <f aca="false">A21-B21</f>
        <v>4000</v>
      </c>
      <c r="D21" s="11" t="n">
        <f aca="false">IF(Calculator!$B$6="Yes",MIN(B21,'Tax Tables'!$B$31*'Tax Tables'!$B$32),0)</f>
        <v>0</v>
      </c>
      <c r="E21" s="11" t="n">
        <f aca="false">D21*Calculator!$B$7</f>
        <v>0</v>
      </c>
      <c r="F21" s="11" t="n">
        <f aca="false">D21*Calculator!$B$8</f>
        <v>0</v>
      </c>
      <c r="G21" s="11" t="n">
        <f aca="false">IF(B21&gt;0,'Tax Tables'!$B$32*MIN(MAX(B21/'Tax Tables'!$B$32*'Tax Tables'!$B$33,'Tax Tables'!$B$34),'Tax Tables'!$B$35),0)</f>
        <v>0</v>
      </c>
      <c r="H21" s="11" t="n">
        <f aca="false">Calculator!$B$5-A21-F21-G21</f>
        <v>396000</v>
      </c>
      <c r="I21" s="11" t="n">
        <f aca="false">'Tax Tables'!$B$22*(MAX(H21,0)-IF(Calculator!$B$10="Yes",MIN(MAX(H21,0),'Tax Tables'!$B$27)*'Tax Tables'!$B$28+MIN(MAX(MAX(H21,0)-'Tax Tables'!$B$27,0),'Tax Tables'!$B$29)*'Tax Tables'!$B$30,MIN(MAX(H21,0),'Tax Tables'!$B$23)*'Tax Tables'!$B$24+MIN(MAX(MAX(H21,0)-'Tax Tables'!$B$23,0),'Tax Tables'!$B$25)*'Tax Tables'!$B$26))*1-MIN('Tax Tables'!$B$22*(MAX(H21,0)-IF(Calculator!$B$10="Yes",MIN(MAX(H21,0),'Tax Tables'!$B$27)*'Tax Tables'!$B$28+MIN(MAX(MAX(H21,0)-'Tax Tables'!$B$27,0),'Tax Tables'!$B$29)*'Tax Tables'!$B$30,MIN(MAX(H21,0),'Tax Tables'!$B$23)*'Tax Tables'!$B$24+MIN(MAX(MAX(H21,0)-'Tax Tables'!$B$23,0),'Tax Tables'!$B$25)*'Tax Tables'!$B$26))*Calculator!$B$11,Calculator!$B$12)</f>
        <v>49895</v>
      </c>
      <c r="J21" s="11" t="n">
        <f aca="false">MAX(H21,0)-I21</f>
        <v>346105</v>
      </c>
      <c r="K21" s="11" t="n">
        <f aca="false">MIN(IF(A21&gt;0,Calculator!$B$13,0)+E21+Calculator!$B$14,'Tax Tables'!$B$36)</f>
        <v>1000</v>
      </c>
      <c r="L21" s="11" t="n">
        <f aca="false">MAX(A21-K21,0)</f>
        <v>3000</v>
      </c>
      <c r="M21" s="11" t="n">
        <f aca="false">SUMPRODUCT((L21&gt;'Tax Tables'!$A$5:$A$17)*(L21-'Tax Tables'!$A$5:$A$17)*'Tax Tables'!$C$5:$C$17)</f>
        <v>0</v>
      </c>
      <c r="N21" s="11" t="n">
        <f aca="false">IF(H21&lt;0,-1E+099,A21-E21-M21+J21+(E21+F21)*Calculator!$B$9)</f>
        <v>350105</v>
      </c>
      <c r="O21" s="2"/>
      <c r="P21" s="11" t="n">
        <f aca="false">8*$B$3</f>
        <v>4000</v>
      </c>
      <c r="Q21" s="11" t="n">
        <f aca="false">MIN(P21,'Tax Tables'!$B$31*'Tax Tables'!$B$32)</f>
        <v>4000</v>
      </c>
      <c r="R21" s="11" t="n">
        <f aca="false">P21-Q21</f>
        <v>0</v>
      </c>
      <c r="S21" s="11" t="n">
        <f aca="false">IF(Calculator!$B$6="Yes",MIN(Q21,'Tax Tables'!$B$31*'Tax Tables'!$B$32),0)</f>
        <v>4000</v>
      </c>
      <c r="T21" s="11" t="n">
        <f aca="false">S21*Calculator!$B$7</f>
        <v>800</v>
      </c>
      <c r="U21" s="11" t="n">
        <f aca="false">S21*Calculator!$B$8</f>
        <v>680</v>
      </c>
      <c r="V21" s="11" t="n">
        <f aca="false">IF(Q21&gt;0,'Tax Tables'!$B$32*MIN(MAX(Q21/'Tax Tables'!$B$32*'Tax Tables'!$B$33,'Tax Tables'!$B$34),'Tax Tables'!$B$35),0)</f>
        <v>24</v>
      </c>
      <c r="W21" s="11" t="n">
        <f aca="false">Calculator!$B$5-P21-U21-V21</f>
        <v>395296</v>
      </c>
      <c r="X21" s="11" t="n">
        <f aca="false">'Tax Tables'!$B$22*(MAX(W21,0)-IF(Calculator!$B$10="Yes",MIN(MAX(W21,0),'Tax Tables'!$B$27)*'Tax Tables'!$B$28+MIN(MAX(MAX(W21,0)-'Tax Tables'!$B$27,0),'Tax Tables'!$B$29)*'Tax Tables'!$B$30,MIN(MAX(W21,0),'Tax Tables'!$B$23)*'Tax Tables'!$B$24+MIN(MAX(MAX(W21,0)-'Tax Tables'!$B$23,0),'Tax Tables'!$B$25)*'Tax Tables'!$B$26))*1-MIN('Tax Tables'!$B$22*(MAX(W21,0)-IF(Calculator!$B$10="Yes",MIN(MAX(W21,0),'Tax Tables'!$B$27)*'Tax Tables'!$B$28+MIN(MAX(MAX(W21,0)-'Tax Tables'!$B$27,0),'Tax Tables'!$B$29)*'Tax Tables'!$B$30,MIN(MAX(W21,0),'Tax Tables'!$B$23)*'Tax Tables'!$B$24+MIN(MAX(MAX(W21,0)-'Tax Tables'!$B$23,0),'Tax Tables'!$B$25)*'Tax Tables'!$B$26))*Calculator!$B$11,Calculator!$B$12)</f>
        <v>49775.32</v>
      </c>
      <c r="Y21" s="11" t="n">
        <f aca="false">MAX(W21,0)-X21</f>
        <v>345520.68</v>
      </c>
      <c r="Z21" s="11" t="n">
        <f aca="false">MIN(IF(P21&gt;0,Calculator!$B$13,0)+T21+Calculator!$B$14,'Tax Tables'!$B$36)</f>
        <v>1800</v>
      </c>
      <c r="AA21" s="11" t="n">
        <f aca="false">MAX(P21-Z21,0)</f>
        <v>2200</v>
      </c>
      <c r="AB21" s="11" t="n">
        <f aca="false">SUMPRODUCT((AA21&gt;'Tax Tables'!$A$5:$A$17)*(AA21-'Tax Tables'!$A$5:$A$17)*'Tax Tables'!$C$5:$C$17)</f>
        <v>0</v>
      </c>
      <c r="AC21" s="11" t="n">
        <f aca="false">IF(W21&lt;0,-1E+099,P21-T21-AB21+Y21+(T21+U21)*Calculator!$B$9)</f>
        <v>350200.68</v>
      </c>
    </row>
    <row r="22" customFormat="false" ht="15" hidden="false" customHeight="false" outlineLevel="0" collapsed="false">
      <c r="A22" s="11" t="n">
        <f aca="false">9*$B$3</f>
        <v>4500</v>
      </c>
      <c r="B22" s="11" t="n">
        <f aca="false">0</f>
        <v>0</v>
      </c>
      <c r="C22" s="11" t="n">
        <f aca="false">A22-B22</f>
        <v>4500</v>
      </c>
      <c r="D22" s="11" t="n">
        <f aca="false">IF(Calculator!$B$6="Yes",MIN(B22,'Tax Tables'!$B$31*'Tax Tables'!$B$32),0)</f>
        <v>0</v>
      </c>
      <c r="E22" s="11" t="n">
        <f aca="false">D22*Calculator!$B$7</f>
        <v>0</v>
      </c>
      <c r="F22" s="11" t="n">
        <f aca="false">D22*Calculator!$B$8</f>
        <v>0</v>
      </c>
      <c r="G22" s="11" t="n">
        <f aca="false">IF(B22&gt;0,'Tax Tables'!$B$32*MIN(MAX(B22/'Tax Tables'!$B$32*'Tax Tables'!$B$33,'Tax Tables'!$B$34),'Tax Tables'!$B$35),0)</f>
        <v>0</v>
      </c>
      <c r="H22" s="11" t="n">
        <f aca="false">Calculator!$B$5-A22-F22-G22</f>
        <v>395500</v>
      </c>
      <c r="I22" s="11" t="n">
        <f aca="false">'Tax Tables'!$B$22*(MAX(H22,0)-IF(Calculator!$B$10="Yes",MIN(MAX(H22,0),'Tax Tables'!$B$27)*'Tax Tables'!$B$28+MIN(MAX(MAX(H22,0)-'Tax Tables'!$B$27,0),'Tax Tables'!$B$29)*'Tax Tables'!$B$30,MIN(MAX(H22,0),'Tax Tables'!$B$23)*'Tax Tables'!$B$24+MIN(MAX(MAX(H22,0)-'Tax Tables'!$B$23,0),'Tax Tables'!$B$25)*'Tax Tables'!$B$26))*1-MIN('Tax Tables'!$B$22*(MAX(H22,0)-IF(Calculator!$B$10="Yes",MIN(MAX(H22,0),'Tax Tables'!$B$27)*'Tax Tables'!$B$28+MIN(MAX(MAX(H22,0)-'Tax Tables'!$B$27,0),'Tax Tables'!$B$29)*'Tax Tables'!$B$30,MIN(MAX(H22,0),'Tax Tables'!$B$23)*'Tax Tables'!$B$24+MIN(MAX(MAX(H22,0)-'Tax Tables'!$B$23,0),'Tax Tables'!$B$25)*'Tax Tables'!$B$26))*Calculator!$B$11,Calculator!$B$12)</f>
        <v>49810</v>
      </c>
      <c r="J22" s="11" t="n">
        <f aca="false">MAX(H22,0)-I22</f>
        <v>345690</v>
      </c>
      <c r="K22" s="11" t="n">
        <f aca="false">MIN(IF(A22&gt;0,Calculator!$B$13,0)+E22+Calculator!$B$14,'Tax Tables'!$B$36)</f>
        <v>1000</v>
      </c>
      <c r="L22" s="11" t="n">
        <f aca="false">MAX(A22-K22,0)</f>
        <v>3500</v>
      </c>
      <c r="M22" s="11" t="n">
        <f aca="false">SUMPRODUCT((L22&gt;'Tax Tables'!$A$5:$A$17)*(L22-'Tax Tables'!$A$5:$A$17)*'Tax Tables'!$C$5:$C$17)</f>
        <v>0</v>
      </c>
      <c r="N22" s="11" t="n">
        <f aca="false">IF(H22&lt;0,-1E+099,A22-E22-M22+J22+(E22+F22)*Calculator!$B$9)</f>
        <v>350190</v>
      </c>
      <c r="O22" s="2"/>
      <c r="P22" s="11" t="n">
        <f aca="false">9*$B$3</f>
        <v>4500</v>
      </c>
      <c r="Q22" s="11" t="n">
        <f aca="false">MIN(P22,'Tax Tables'!$B$31*'Tax Tables'!$B$32)</f>
        <v>4500</v>
      </c>
      <c r="R22" s="11" t="n">
        <f aca="false">P22-Q22</f>
        <v>0</v>
      </c>
      <c r="S22" s="11" t="n">
        <f aca="false">IF(Calculator!$B$6="Yes",MIN(Q22,'Tax Tables'!$B$31*'Tax Tables'!$B$32),0)</f>
        <v>4500</v>
      </c>
      <c r="T22" s="11" t="n">
        <f aca="false">S22*Calculator!$B$7</f>
        <v>900</v>
      </c>
      <c r="U22" s="11" t="n">
        <f aca="false">S22*Calculator!$B$8</f>
        <v>765</v>
      </c>
      <c r="V22" s="11" t="n">
        <f aca="false">IF(Q22&gt;0,'Tax Tables'!$B$32*MIN(MAX(Q22/'Tax Tables'!$B$32*'Tax Tables'!$B$33,'Tax Tables'!$B$34),'Tax Tables'!$B$35),0)</f>
        <v>24</v>
      </c>
      <c r="W22" s="11" t="n">
        <f aca="false">Calculator!$B$5-P22-U22-V22</f>
        <v>394711</v>
      </c>
      <c r="X22" s="11" t="n">
        <f aca="false">'Tax Tables'!$B$22*(MAX(W22,0)-IF(Calculator!$B$10="Yes",MIN(MAX(W22,0),'Tax Tables'!$B$27)*'Tax Tables'!$B$28+MIN(MAX(MAX(W22,0)-'Tax Tables'!$B$27,0),'Tax Tables'!$B$29)*'Tax Tables'!$B$30,MIN(MAX(W22,0),'Tax Tables'!$B$23)*'Tax Tables'!$B$24+MIN(MAX(MAX(W22,0)-'Tax Tables'!$B$23,0),'Tax Tables'!$B$25)*'Tax Tables'!$B$26))*1-MIN('Tax Tables'!$B$22*(MAX(W22,0)-IF(Calculator!$B$10="Yes",MIN(MAX(W22,0),'Tax Tables'!$B$27)*'Tax Tables'!$B$28+MIN(MAX(MAX(W22,0)-'Tax Tables'!$B$27,0),'Tax Tables'!$B$29)*'Tax Tables'!$B$30,MIN(MAX(W22,0),'Tax Tables'!$B$23)*'Tax Tables'!$B$24+MIN(MAX(MAX(W22,0)-'Tax Tables'!$B$23,0),'Tax Tables'!$B$25)*'Tax Tables'!$B$26))*Calculator!$B$11,Calculator!$B$12)</f>
        <v>49675.87</v>
      </c>
      <c r="Y22" s="11" t="n">
        <f aca="false">MAX(W22,0)-X22</f>
        <v>345035.13</v>
      </c>
      <c r="Z22" s="11" t="n">
        <f aca="false">MIN(IF(P22&gt;0,Calculator!$B$13,0)+T22+Calculator!$B$14,'Tax Tables'!$B$36)</f>
        <v>1900</v>
      </c>
      <c r="AA22" s="11" t="n">
        <f aca="false">MAX(P22-Z22,0)</f>
        <v>2600</v>
      </c>
      <c r="AB22" s="11" t="n">
        <f aca="false">SUMPRODUCT((AA22&gt;'Tax Tables'!$A$5:$A$17)*(AA22-'Tax Tables'!$A$5:$A$17)*'Tax Tables'!$C$5:$C$17)</f>
        <v>0</v>
      </c>
      <c r="AC22" s="11" t="n">
        <f aca="false">IF(W22&lt;0,-1E+099,P22-T22-AB22+Y22+(T22+U22)*Calculator!$B$9)</f>
        <v>350300.13</v>
      </c>
    </row>
    <row r="23" customFormat="false" ht="15" hidden="false" customHeight="false" outlineLevel="0" collapsed="false">
      <c r="A23" s="11" t="n">
        <f aca="false">10*$B$3</f>
        <v>5000</v>
      </c>
      <c r="B23" s="11" t="n">
        <f aca="false">0</f>
        <v>0</v>
      </c>
      <c r="C23" s="11" t="n">
        <f aca="false">A23-B23</f>
        <v>5000</v>
      </c>
      <c r="D23" s="11" t="n">
        <f aca="false">IF(Calculator!$B$6="Yes",MIN(B23,'Tax Tables'!$B$31*'Tax Tables'!$B$32),0)</f>
        <v>0</v>
      </c>
      <c r="E23" s="11" t="n">
        <f aca="false">D23*Calculator!$B$7</f>
        <v>0</v>
      </c>
      <c r="F23" s="11" t="n">
        <f aca="false">D23*Calculator!$B$8</f>
        <v>0</v>
      </c>
      <c r="G23" s="11" t="n">
        <f aca="false">IF(B23&gt;0,'Tax Tables'!$B$32*MIN(MAX(B23/'Tax Tables'!$B$32*'Tax Tables'!$B$33,'Tax Tables'!$B$34),'Tax Tables'!$B$35),0)</f>
        <v>0</v>
      </c>
      <c r="H23" s="11" t="n">
        <f aca="false">Calculator!$B$5-A23-F23-G23</f>
        <v>395000</v>
      </c>
      <c r="I23" s="11" t="n">
        <f aca="false">'Tax Tables'!$B$22*(MAX(H23,0)-IF(Calculator!$B$10="Yes",MIN(MAX(H23,0),'Tax Tables'!$B$27)*'Tax Tables'!$B$28+MIN(MAX(MAX(H23,0)-'Tax Tables'!$B$27,0),'Tax Tables'!$B$29)*'Tax Tables'!$B$30,MIN(MAX(H23,0),'Tax Tables'!$B$23)*'Tax Tables'!$B$24+MIN(MAX(MAX(H23,0)-'Tax Tables'!$B$23,0),'Tax Tables'!$B$25)*'Tax Tables'!$B$26))*1-MIN('Tax Tables'!$B$22*(MAX(H23,0)-IF(Calculator!$B$10="Yes",MIN(MAX(H23,0),'Tax Tables'!$B$27)*'Tax Tables'!$B$28+MIN(MAX(MAX(H23,0)-'Tax Tables'!$B$27,0),'Tax Tables'!$B$29)*'Tax Tables'!$B$30,MIN(MAX(H23,0),'Tax Tables'!$B$23)*'Tax Tables'!$B$24+MIN(MAX(MAX(H23,0)-'Tax Tables'!$B$23,0),'Tax Tables'!$B$25)*'Tax Tables'!$B$26))*Calculator!$B$11,Calculator!$B$12)</f>
        <v>49725</v>
      </c>
      <c r="J23" s="11" t="n">
        <f aca="false">MAX(H23,0)-I23</f>
        <v>345275</v>
      </c>
      <c r="K23" s="11" t="n">
        <f aca="false">MIN(IF(A23&gt;0,Calculator!$B$13,0)+E23+Calculator!$B$14,'Tax Tables'!$B$36)</f>
        <v>1000</v>
      </c>
      <c r="L23" s="11" t="n">
        <f aca="false">MAX(A23-K23,0)</f>
        <v>4000</v>
      </c>
      <c r="M23" s="11" t="n">
        <f aca="false">SUMPRODUCT((L23&gt;'Tax Tables'!$A$5:$A$17)*(L23-'Tax Tables'!$A$5:$A$17)*'Tax Tables'!$C$5:$C$17)</f>
        <v>0</v>
      </c>
      <c r="N23" s="11" t="n">
        <f aca="false">IF(H23&lt;0,-1E+099,A23-E23-M23+J23+(E23+F23)*Calculator!$B$9)</f>
        <v>350275</v>
      </c>
      <c r="O23" s="2"/>
      <c r="P23" s="11" t="n">
        <f aca="false">10*$B$3</f>
        <v>5000</v>
      </c>
      <c r="Q23" s="11" t="n">
        <f aca="false">MIN(P23,'Tax Tables'!$B$31*'Tax Tables'!$B$32)</f>
        <v>5000</v>
      </c>
      <c r="R23" s="11" t="n">
        <f aca="false">P23-Q23</f>
        <v>0</v>
      </c>
      <c r="S23" s="11" t="n">
        <f aca="false">IF(Calculator!$B$6="Yes",MIN(Q23,'Tax Tables'!$B$31*'Tax Tables'!$B$32),0)</f>
        <v>5000</v>
      </c>
      <c r="T23" s="11" t="n">
        <f aca="false">S23*Calculator!$B$7</f>
        <v>1000</v>
      </c>
      <c r="U23" s="11" t="n">
        <f aca="false">S23*Calculator!$B$8</f>
        <v>850</v>
      </c>
      <c r="V23" s="11" t="n">
        <f aca="false">IF(Q23&gt;0,'Tax Tables'!$B$32*MIN(MAX(Q23/'Tax Tables'!$B$32*'Tax Tables'!$B$33,'Tax Tables'!$B$34),'Tax Tables'!$B$35),0)</f>
        <v>24</v>
      </c>
      <c r="W23" s="11" t="n">
        <f aca="false">Calculator!$B$5-P23-U23-V23</f>
        <v>394126</v>
      </c>
      <c r="X23" s="11" t="n">
        <f aca="false">'Tax Tables'!$B$22*(MAX(W23,0)-IF(Calculator!$B$10="Yes",MIN(MAX(W23,0),'Tax Tables'!$B$27)*'Tax Tables'!$B$28+MIN(MAX(MAX(W23,0)-'Tax Tables'!$B$27,0),'Tax Tables'!$B$29)*'Tax Tables'!$B$30,MIN(MAX(W23,0),'Tax Tables'!$B$23)*'Tax Tables'!$B$24+MIN(MAX(MAX(W23,0)-'Tax Tables'!$B$23,0),'Tax Tables'!$B$25)*'Tax Tables'!$B$26))*1-MIN('Tax Tables'!$B$22*(MAX(W23,0)-IF(Calculator!$B$10="Yes",MIN(MAX(W23,0),'Tax Tables'!$B$27)*'Tax Tables'!$B$28+MIN(MAX(MAX(W23,0)-'Tax Tables'!$B$27,0),'Tax Tables'!$B$29)*'Tax Tables'!$B$30,MIN(MAX(W23,0),'Tax Tables'!$B$23)*'Tax Tables'!$B$24+MIN(MAX(MAX(W23,0)-'Tax Tables'!$B$23,0),'Tax Tables'!$B$25)*'Tax Tables'!$B$26))*Calculator!$B$11,Calculator!$B$12)</f>
        <v>49576.42</v>
      </c>
      <c r="Y23" s="11" t="n">
        <f aca="false">MAX(W23,0)-X23</f>
        <v>344549.58</v>
      </c>
      <c r="Z23" s="11" t="n">
        <f aca="false">MIN(IF(P23&gt;0,Calculator!$B$13,0)+T23+Calculator!$B$14,'Tax Tables'!$B$36)</f>
        <v>2000</v>
      </c>
      <c r="AA23" s="11" t="n">
        <f aca="false">MAX(P23-Z23,0)</f>
        <v>3000</v>
      </c>
      <c r="AB23" s="11" t="n">
        <f aca="false">SUMPRODUCT((AA23&gt;'Tax Tables'!$A$5:$A$17)*(AA23-'Tax Tables'!$A$5:$A$17)*'Tax Tables'!$C$5:$C$17)</f>
        <v>0</v>
      </c>
      <c r="AC23" s="11" t="n">
        <f aca="false">IF(W23&lt;0,-1E+099,P23-T23-AB23+Y23+(T23+U23)*Calculator!$B$9)</f>
        <v>350399.58</v>
      </c>
    </row>
    <row r="24" customFormat="false" ht="15" hidden="false" customHeight="false" outlineLevel="0" collapsed="false">
      <c r="A24" s="11" t="n">
        <f aca="false">11*$B$3</f>
        <v>5500</v>
      </c>
      <c r="B24" s="11" t="n">
        <f aca="false">0</f>
        <v>0</v>
      </c>
      <c r="C24" s="11" t="n">
        <f aca="false">A24-B24</f>
        <v>5500</v>
      </c>
      <c r="D24" s="11" t="n">
        <f aca="false">IF(Calculator!$B$6="Yes",MIN(B24,'Tax Tables'!$B$31*'Tax Tables'!$B$32),0)</f>
        <v>0</v>
      </c>
      <c r="E24" s="11" t="n">
        <f aca="false">D24*Calculator!$B$7</f>
        <v>0</v>
      </c>
      <c r="F24" s="11" t="n">
        <f aca="false">D24*Calculator!$B$8</f>
        <v>0</v>
      </c>
      <c r="G24" s="11" t="n">
        <f aca="false">IF(B24&gt;0,'Tax Tables'!$B$32*MIN(MAX(B24/'Tax Tables'!$B$32*'Tax Tables'!$B$33,'Tax Tables'!$B$34),'Tax Tables'!$B$35),0)</f>
        <v>0</v>
      </c>
      <c r="H24" s="11" t="n">
        <f aca="false">Calculator!$B$5-A24-F24-G24</f>
        <v>394500</v>
      </c>
      <c r="I24" s="11" t="n">
        <f aca="false">'Tax Tables'!$B$22*(MAX(H24,0)-IF(Calculator!$B$10="Yes",MIN(MAX(H24,0),'Tax Tables'!$B$27)*'Tax Tables'!$B$28+MIN(MAX(MAX(H24,0)-'Tax Tables'!$B$27,0),'Tax Tables'!$B$29)*'Tax Tables'!$B$30,MIN(MAX(H24,0),'Tax Tables'!$B$23)*'Tax Tables'!$B$24+MIN(MAX(MAX(H24,0)-'Tax Tables'!$B$23,0),'Tax Tables'!$B$25)*'Tax Tables'!$B$26))*1-MIN('Tax Tables'!$B$22*(MAX(H24,0)-IF(Calculator!$B$10="Yes",MIN(MAX(H24,0),'Tax Tables'!$B$27)*'Tax Tables'!$B$28+MIN(MAX(MAX(H24,0)-'Tax Tables'!$B$27,0),'Tax Tables'!$B$29)*'Tax Tables'!$B$30,MIN(MAX(H24,0),'Tax Tables'!$B$23)*'Tax Tables'!$B$24+MIN(MAX(MAX(H24,0)-'Tax Tables'!$B$23,0),'Tax Tables'!$B$25)*'Tax Tables'!$B$26))*Calculator!$B$11,Calculator!$B$12)</f>
        <v>49640</v>
      </c>
      <c r="J24" s="11" t="n">
        <f aca="false">MAX(H24,0)-I24</f>
        <v>344860</v>
      </c>
      <c r="K24" s="11" t="n">
        <f aca="false">MIN(IF(A24&gt;0,Calculator!$B$13,0)+E24+Calculator!$B$14,'Tax Tables'!$B$36)</f>
        <v>1000</v>
      </c>
      <c r="L24" s="11" t="n">
        <f aca="false">MAX(A24-K24,0)</f>
        <v>4500</v>
      </c>
      <c r="M24" s="11" t="n">
        <f aca="false">SUMPRODUCT((L24&gt;'Tax Tables'!$A$5:$A$17)*(L24-'Tax Tables'!$A$5:$A$17)*'Tax Tables'!$C$5:$C$17)</f>
        <v>0</v>
      </c>
      <c r="N24" s="11" t="n">
        <f aca="false">IF(H24&lt;0,-1E+099,A24-E24-M24+J24+(E24+F24)*Calculator!$B$9)</f>
        <v>350360</v>
      </c>
      <c r="O24" s="2"/>
      <c r="P24" s="11" t="n">
        <f aca="false">11*$B$3</f>
        <v>5500</v>
      </c>
      <c r="Q24" s="11" t="n">
        <f aca="false">MIN(P24,'Tax Tables'!$B$31*'Tax Tables'!$B$32)</f>
        <v>5500</v>
      </c>
      <c r="R24" s="11" t="n">
        <f aca="false">P24-Q24</f>
        <v>0</v>
      </c>
      <c r="S24" s="11" t="n">
        <f aca="false">IF(Calculator!$B$6="Yes",MIN(Q24,'Tax Tables'!$B$31*'Tax Tables'!$B$32),0)</f>
        <v>5500</v>
      </c>
      <c r="T24" s="11" t="n">
        <f aca="false">S24*Calculator!$B$7</f>
        <v>1100</v>
      </c>
      <c r="U24" s="11" t="n">
        <f aca="false">S24*Calculator!$B$8</f>
        <v>935</v>
      </c>
      <c r="V24" s="11" t="n">
        <f aca="false">IF(Q24&gt;0,'Tax Tables'!$B$32*MIN(MAX(Q24/'Tax Tables'!$B$32*'Tax Tables'!$B$33,'Tax Tables'!$B$34),'Tax Tables'!$B$35),0)</f>
        <v>24</v>
      </c>
      <c r="W24" s="11" t="n">
        <f aca="false">Calculator!$B$5-P24-U24-V24</f>
        <v>393541</v>
      </c>
      <c r="X24" s="11" t="n">
        <f aca="false">'Tax Tables'!$B$22*(MAX(W24,0)-IF(Calculator!$B$10="Yes",MIN(MAX(W24,0),'Tax Tables'!$B$27)*'Tax Tables'!$B$28+MIN(MAX(MAX(W24,0)-'Tax Tables'!$B$27,0),'Tax Tables'!$B$29)*'Tax Tables'!$B$30,MIN(MAX(W24,0),'Tax Tables'!$B$23)*'Tax Tables'!$B$24+MIN(MAX(MAX(W24,0)-'Tax Tables'!$B$23,0),'Tax Tables'!$B$25)*'Tax Tables'!$B$26))*1-MIN('Tax Tables'!$B$22*(MAX(W24,0)-IF(Calculator!$B$10="Yes",MIN(MAX(W24,0),'Tax Tables'!$B$27)*'Tax Tables'!$B$28+MIN(MAX(MAX(W24,0)-'Tax Tables'!$B$27,0),'Tax Tables'!$B$29)*'Tax Tables'!$B$30,MIN(MAX(W24,0),'Tax Tables'!$B$23)*'Tax Tables'!$B$24+MIN(MAX(MAX(W24,0)-'Tax Tables'!$B$23,0),'Tax Tables'!$B$25)*'Tax Tables'!$B$26))*Calculator!$B$11,Calculator!$B$12)</f>
        <v>49476.97</v>
      </c>
      <c r="Y24" s="11" t="n">
        <f aca="false">MAX(W24,0)-X24</f>
        <v>344064.03</v>
      </c>
      <c r="Z24" s="11" t="n">
        <f aca="false">MIN(IF(P24&gt;0,Calculator!$B$13,0)+T24+Calculator!$B$14,'Tax Tables'!$B$36)</f>
        <v>2100</v>
      </c>
      <c r="AA24" s="11" t="n">
        <f aca="false">MAX(P24-Z24,0)</f>
        <v>3400</v>
      </c>
      <c r="AB24" s="11" t="n">
        <f aca="false">SUMPRODUCT((AA24&gt;'Tax Tables'!$A$5:$A$17)*(AA24-'Tax Tables'!$A$5:$A$17)*'Tax Tables'!$C$5:$C$17)</f>
        <v>0</v>
      </c>
      <c r="AC24" s="11" t="n">
        <f aca="false">IF(W24&lt;0,-1E+099,P24-T24-AB24+Y24+(T24+U24)*Calculator!$B$9)</f>
        <v>350499.03</v>
      </c>
    </row>
    <row r="25" customFormat="false" ht="15" hidden="false" customHeight="false" outlineLevel="0" collapsed="false">
      <c r="A25" s="11" t="n">
        <f aca="false">12*$B$3</f>
        <v>6000</v>
      </c>
      <c r="B25" s="11" t="n">
        <f aca="false">0</f>
        <v>0</v>
      </c>
      <c r="C25" s="11" t="n">
        <f aca="false">A25-B25</f>
        <v>6000</v>
      </c>
      <c r="D25" s="11" t="n">
        <f aca="false">IF(Calculator!$B$6="Yes",MIN(B25,'Tax Tables'!$B$31*'Tax Tables'!$B$32),0)</f>
        <v>0</v>
      </c>
      <c r="E25" s="11" t="n">
        <f aca="false">D25*Calculator!$B$7</f>
        <v>0</v>
      </c>
      <c r="F25" s="11" t="n">
        <f aca="false">D25*Calculator!$B$8</f>
        <v>0</v>
      </c>
      <c r="G25" s="11" t="n">
        <f aca="false">IF(B25&gt;0,'Tax Tables'!$B$32*MIN(MAX(B25/'Tax Tables'!$B$32*'Tax Tables'!$B$33,'Tax Tables'!$B$34),'Tax Tables'!$B$35),0)</f>
        <v>0</v>
      </c>
      <c r="H25" s="11" t="n">
        <f aca="false">Calculator!$B$5-A25-F25-G25</f>
        <v>394000</v>
      </c>
      <c r="I25" s="11" t="n">
        <f aca="false">'Tax Tables'!$B$22*(MAX(H25,0)-IF(Calculator!$B$10="Yes",MIN(MAX(H25,0),'Tax Tables'!$B$27)*'Tax Tables'!$B$28+MIN(MAX(MAX(H25,0)-'Tax Tables'!$B$27,0),'Tax Tables'!$B$29)*'Tax Tables'!$B$30,MIN(MAX(H25,0),'Tax Tables'!$B$23)*'Tax Tables'!$B$24+MIN(MAX(MAX(H25,0)-'Tax Tables'!$B$23,0),'Tax Tables'!$B$25)*'Tax Tables'!$B$26))*1-MIN('Tax Tables'!$B$22*(MAX(H25,0)-IF(Calculator!$B$10="Yes",MIN(MAX(H25,0),'Tax Tables'!$B$27)*'Tax Tables'!$B$28+MIN(MAX(MAX(H25,0)-'Tax Tables'!$B$27,0),'Tax Tables'!$B$29)*'Tax Tables'!$B$30,MIN(MAX(H25,0),'Tax Tables'!$B$23)*'Tax Tables'!$B$24+MIN(MAX(MAX(H25,0)-'Tax Tables'!$B$23,0),'Tax Tables'!$B$25)*'Tax Tables'!$B$26))*Calculator!$B$11,Calculator!$B$12)</f>
        <v>49555</v>
      </c>
      <c r="J25" s="11" t="n">
        <f aca="false">MAX(H25,0)-I25</f>
        <v>344445</v>
      </c>
      <c r="K25" s="11" t="n">
        <f aca="false">MIN(IF(A25&gt;0,Calculator!$B$13,0)+E25+Calculator!$B$14,'Tax Tables'!$B$36)</f>
        <v>1000</v>
      </c>
      <c r="L25" s="11" t="n">
        <f aca="false">MAX(A25-K25,0)</f>
        <v>5000</v>
      </c>
      <c r="M25" s="11" t="n">
        <f aca="false">SUMPRODUCT((L25&gt;'Tax Tables'!$A$5:$A$17)*(L25-'Tax Tables'!$A$5:$A$17)*'Tax Tables'!$C$5:$C$17)</f>
        <v>0</v>
      </c>
      <c r="N25" s="11" t="n">
        <f aca="false">IF(H25&lt;0,-1E+099,A25-E25-M25+J25+(E25+F25)*Calculator!$B$9)</f>
        <v>350445</v>
      </c>
      <c r="O25" s="2"/>
      <c r="P25" s="11" t="n">
        <f aca="false">12*$B$3</f>
        <v>6000</v>
      </c>
      <c r="Q25" s="11" t="n">
        <f aca="false">MIN(P25,'Tax Tables'!$B$31*'Tax Tables'!$B$32)</f>
        <v>6000</v>
      </c>
      <c r="R25" s="11" t="n">
        <f aca="false">P25-Q25</f>
        <v>0</v>
      </c>
      <c r="S25" s="11" t="n">
        <f aca="false">IF(Calculator!$B$6="Yes",MIN(Q25,'Tax Tables'!$B$31*'Tax Tables'!$B$32),0)</f>
        <v>6000</v>
      </c>
      <c r="T25" s="11" t="n">
        <f aca="false">S25*Calculator!$B$7</f>
        <v>1200</v>
      </c>
      <c r="U25" s="11" t="n">
        <f aca="false">S25*Calculator!$B$8</f>
        <v>1020</v>
      </c>
      <c r="V25" s="11" t="n">
        <f aca="false">IF(Q25&gt;0,'Tax Tables'!$B$32*MIN(MAX(Q25/'Tax Tables'!$B$32*'Tax Tables'!$B$33,'Tax Tables'!$B$34),'Tax Tables'!$B$35),0)</f>
        <v>24</v>
      </c>
      <c r="W25" s="11" t="n">
        <f aca="false">Calculator!$B$5-P25-U25-V25</f>
        <v>392956</v>
      </c>
      <c r="X25" s="11" t="n">
        <f aca="false">'Tax Tables'!$B$22*(MAX(W25,0)-IF(Calculator!$B$10="Yes",MIN(MAX(W25,0),'Tax Tables'!$B$27)*'Tax Tables'!$B$28+MIN(MAX(MAX(W25,0)-'Tax Tables'!$B$27,0),'Tax Tables'!$B$29)*'Tax Tables'!$B$30,MIN(MAX(W25,0),'Tax Tables'!$B$23)*'Tax Tables'!$B$24+MIN(MAX(MAX(W25,0)-'Tax Tables'!$B$23,0),'Tax Tables'!$B$25)*'Tax Tables'!$B$26))*1-MIN('Tax Tables'!$B$22*(MAX(W25,0)-IF(Calculator!$B$10="Yes",MIN(MAX(W25,0),'Tax Tables'!$B$27)*'Tax Tables'!$B$28+MIN(MAX(MAX(W25,0)-'Tax Tables'!$B$27,0),'Tax Tables'!$B$29)*'Tax Tables'!$B$30,MIN(MAX(W25,0),'Tax Tables'!$B$23)*'Tax Tables'!$B$24+MIN(MAX(MAX(W25,0)-'Tax Tables'!$B$23,0),'Tax Tables'!$B$25)*'Tax Tables'!$B$26))*Calculator!$B$11,Calculator!$B$12)</f>
        <v>49377.52</v>
      </c>
      <c r="Y25" s="11" t="n">
        <f aca="false">MAX(W25,0)-X25</f>
        <v>343578.48</v>
      </c>
      <c r="Z25" s="11" t="n">
        <f aca="false">MIN(IF(P25&gt;0,Calculator!$B$13,0)+T25+Calculator!$B$14,'Tax Tables'!$B$36)</f>
        <v>2200</v>
      </c>
      <c r="AA25" s="11" t="n">
        <f aca="false">MAX(P25-Z25,0)</f>
        <v>3800</v>
      </c>
      <c r="AB25" s="11" t="n">
        <f aca="false">SUMPRODUCT((AA25&gt;'Tax Tables'!$A$5:$A$17)*(AA25-'Tax Tables'!$A$5:$A$17)*'Tax Tables'!$C$5:$C$17)</f>
        <v>0</v>
      </c>
      <c r="AC25" s="11" t="n">
        <f aca="false">IF(W25&lt;0,-1E+099,P25-T25-AB25+Y25+(T25+U25)*Calculator!$B$9)</f>
        <v>350598.48</v>
      </c>
    </row>
    <row r="26" customFormat="false" ht="15" hidden="false" customHeight="false" outlineLevel="0" collapsed="false">
      <c r="A26" s="11" t="n">
        <f aca="false">13*$B$3</f>
        <v>6500</v>
      </c>
      <c r="B26" s="11" t="n">
        <f aca="false">0</f>
        <v>0</v>
      </c>
      <c r="C26" s="11" t="n">
        <f aca="false">A26-B26</f>
        <v>6500</v>
      </c>
      <c r="D26" s="11" t="n">
        <f aca="false">IF(Calculator!$B$6="Yes",MIN(B26,'Tax Tables'!$B$31*'Tax Tables'!$B$32),0)</f>
        <v>0</v>
      </c>
      <c r="E26" s="11" t="n">
        <f aca="false">D26*Calculator!$B$7</f>
        <v>0</v>
      </c>
      <c r="F26" s="11" t="n">
        <f aca="false">D26*Calculator!$B$8</f>
        <v>0</v>
      </c>
      <c r="G26" s="11" t="n">
        <f aca="false">IF(B26&gt;0,'Tax Tables'!$B$32*MIN(MAX(B26/'Tax Tables'!$B$32*'Tax Tables'!$B$33,'Tax Tables'!$B$34),'Tax Tables'!$B$35),0)</f>
        <v>0</v>
      </c>
      <c r="H26" s="11" t="n">
        <f aca="false">Calculator!$B$5-A26-F26-G26</f>
        <v>393500</v>
      </c>
      <c r="I26" s="11" t="n">
        <f aca="false">'Tax Tables'!$B$22*(MAX(H26,0)-IF(Calculator!$B$10="Yes",MIN(MAX(H26,0),'Tax Tables'!$B$27)*'Tax Tables'!$B$28+MIN(MAX(MAX(H26,0)-'Tax Tables'!$B$27,0),'Tax Tables'!$B$29)*'Tax Tables'!$B$30,MIN(MAX(H26,0),'Tax Tables'!$B$23)*'Tax Tables'!$B$24+MIN(MAX(MAX(H26,0)-'Tax Tables'!$B$23,0),'Tax Tables'!$B$25)*'Tax Tables'!$B$26))*1-MIN('Tax Tables'!$B$22*(MAX(H26,0)-IF(Calculator!$B$10="Yes",MIN(MAX(H26,0),'Tax Tables'!$B$27)*'Tax Tables'!$B$28+MIN(MAX(MAX(H26,0)-'Tax Tables'!$B$27,0),'Tax Tables'!$B$29)*'Tax Tables'!$B$30,MIN(MAX(H26,0),'Tax Tables'!$B$23)*'Tax Tables'!$B$24+MIN(MAX(MAX(H26,0)-'Tax Tables'!$B$23,0),'Tax Tables'!$B$25)*'Tax Tables'!$B$26))*Calculator!$B$11,Calculator!$B$12)</f>
        <v>49470</v>
      </c>
      <c r="J26" s="11" t="n">
        <f aca="false">MAX(H26,0)-I26</f>
        <v>344030</v>
      </c>
      <c r="K26" s="11" t="n">
        <f aca="false">MIN(IF(A26&gt;0,Calculator!$B$13,0)+E26+Calculator!$B$14,'Tax Tables'!$B$36)</f>
        <v>1000</v>
      </c>
      <c r="L26" s="11" t="n">
        <f aca="false">MAX(A26-K26,0)</f>
        <v>5500</v>
      </c>
      <c r="M26" s="11" t="n">
        <f aca="false">SUMPRODUCT((L26&gt;'Tax Tables'!$A$5:$A$17)*(L26-'Tax Tables'!$A$5:$A$17)*'Tax Tables'!$C$5:$C$17)</f>
        <v>0</v>
      </c>
      <c r="N26" s="11" t="n">
        <f aca="false">IF(H26&lt;0,-1E+099,A26-E26-M26+J26+(E26+F26)*Calculator!$B$9)</f>
        <v>350530</v>
      </c>
      <c r="O26" s="2"/>
      <c r="P26" s="11" t="n">
        <f aca="false">13*$B$3</f>
        <v>6500</v>
      </c>
      <c r="Q26" s="11" t="n">
        <f aca="false">MIN(P26,'Tax Tables'!$B$31*'Tax Tables'!$B$32)</f>
        <v>6500</v>
      </c>
      <c r="R26" s="11" t="n">
        <f aca="false">P26-Q26</f>
        <v>0</v>
      </c>
      <c r="S26" s="11" t="n">
        <f aca="false">IF(Calculator!$B$6="Yes",MIN(Q26,'Tax Tables'!$B$31*'Tax Tables'!$B$32),0)</f>
        <v>6500</v>
      </c>
      <c r="T26" s="11" t="n">
        <f aca="false">S26*Calculator!$B$7</f>
        <v>1300</v>
      </c>
      <c r="U26" s="11" t="n">
        <f aca="false">S26*Calculator!$B$8</f>
        <v>1105</v>
      </c>
      <c r="V26" s="11" t="n">
        <f aca="false">IF(Q26&gt;0,'Tax Tables'!$B$32*MIN(MAX(Q26/'Tax Tables'!$B$32*'Tax Tables'!$B$33,'Tax Tables'!$B$34),'Tax Tables'!$B$35),0)</f>
        <v>24</v>
      </c>
      <c r="W26" s="11" t="n">
        <f aca="false">Calculator!$B$5-P26-U26-V26</f>
        <v>392371</v>
      </c>
      <c r="X26" s="11" t="n">
        <f aca="false">'Tax Tables'!$B$22*(MAX(W26,0)-IF(Calculator!$B$10="Yes",MIN(MAX(W26,0),'Tax Tables'!$B$27)*'Tax Tables'!$B$28+MIN(MAX(MAX(W26,0)-'Tax Tables'!$B$27,0),'Tax Tables'!$B$29)*'Tax Tables'!$B$30,MIN(MAX(W26,0),'Tax Tables'!$B$23)*'Tax Tables'!$B$24+MIN(MAX(MAX(W26,0)-'Tax Tables'!$B$23,0),'Tax Tables'!$B$25)*'Tax Tables'!$B$26))*1-MIN('Tax Tables'!$B$22*(MAX(W26,0)-IF(Calculator!$B$10="Yes",MIN(MAX(W26,0),'Tax Tables'!$B$27)*'Tax Tables'!$B$28+MIN(MAX(MAX(W26,0)-'Tax Tables'!$B$27,0),'Tax Tables'!$B$29)*'Tax Tables'!$B$30,MIN(MAX(W26,0),'Tax Tables'!$B$23)*'Tax Tables'!$B$24+MIN(MAX(MAX(W26,0)-'Tax Tables'!$B$23,0),'Tax Tables'!$B$25)*'Tax Tables'!$B$26))*Calculator!$B$11,Calculator!$B$12)</f>
        <v>49278.07</v>
      </c>
      <c r="Y26" s="11" t="n">
        <f aca="false">MAX(W26,0)-X26</f>
        <v>343092.93</v>
      </c>
      <c r="Z26" s="11" t="n">
        <f aca="false">MIN(IF(P26&gt;0,Calculator!$B$13,0)+T26+Calculator!$B$14,'Tax Tables'!$B$36)</f>
        <v>2300</v>
      </c>
      <c r="AA26" s="11" t="n">
        <f aca="false">MAX(P26-Z26,0)</f>
        <v>4200</v>
      </c>
      <c r="AB26" s="11" t="n">
        <f aca="false">SUMPRODUCT((AA26&gt;'Tax Tables'!$A$5:$A$17)*(AA26-'Tax Tables'!$A$5:$A$17)*'Tax Tables'!$C$5:$C$17)</f>
        <v>0</v>
      </c>
      <c r="AC26" s="11" t="n">
        <f aca="false">IF(W26&lt;0,-1E+099,P26-T26-AB26+Y26+(T26+U26)*Calculator!$B$9)</f>
        <v>350697.93</v>
      </c>
    </row>
    <row r="27" customFormat="false" ht="15" hidden="false" customHeight="false" outlineLevel="0" collapsed="false">
      <c r="A27" s="11" t="n">
        <f aca="false">14*$B$3</f>
        <v>7000</v>
      </c>
      <c r="B27" s="11" t="n">
        <f aca="false">0</f>
        <v>0</v>
      </c>
      <c r="C27" s="11" t="n">
        <f aca="false">A27-B27</f>
        <v>7000</v>
      </c>
      <c r="D27" s="11" t="n">
        <f aca="false">IF(Calculator!$B$6="Yes",MIN(B27,'Tax Tables'!$B$31*'Tax Tables'!$B$32),0)</f>
        <v>0</v>
      </c>
      <c r="E27" s="11" t="n">
        <f aca="false">D27*Calculator!$B$7</f>
        <v>0</v>
      </c>
      <c r="F27" s="11" t="n">
        <f aca="false">D27*Calculator!$B$8</f>
        <v>0</v>
      </c>
      <c r="G27" s="11" t="n">
        <f aca="false">IF(B27&gt;0,'Tax Tables'!$B$32*MIN(MAX(B27/'Tax Tables'!$B$32*'Tax Tables'!$B$33,'Tax Tables'!$B$34),'Tax Tables'!$B$35),0)</f>
        <v>0</v>
      </c>
      <c r="H27" s="11" t="n">
        <f aca="false">Calculator!$B$5-A27-F27-G27</f>
        <v>393000</v>
      </c>
      <c r="I27" s="11" t="n">
        <f aca="false">'Tax Tables'!$B$22*(MAX(H27,0)-IF(Calculator!$B$10="Yes",MIN(MAX(H27,0),'Tax Tables'!$B$27)*'Tax Tables'!$B$28+MIN(MAX(MAX(H27,0)-'Tax Tables'!$B$27,0),'Tax Tables'!$B$29)*'Tax Tables'!$B$30,MIN(MAX(H27,0),'Tax Tables'!$B$23)*'Tax Tables'!$B$24+MIN(MAX(MAX(H27,0)-'Tax Tables'!$B$23,0),'Tax Tables'!$B$25)*'Tax Tables'!$B$26))*1-MIN('Tax Tables'!$B$22*(MAX(H27,0)-IF(Calculator!$B$10="Yes",MIN(MAX(H27,0),'Tax Tables'!$B$27)*'Tax Tables'!$B$28+MIN(MAX(MAX(H27,0)-'Tax Tables'!$B$27,0),'Tax Tables'!$B$29)*'Tax Tables'!$B$30,MIN(MAX(H27,0),'Tax Tables'!$B$23)*'Tax Tables'!$B$24+MIN(MAX(MAX(H27,0)-'Tax Tables'!$B$23,0),'Tax Tables'!$B$25)*'Tax Tables'!$B$26))*Calculator!$B$11,Calculator!$B$12)</f>
        <v>49385</v>
      </c>
      <c r="J27" s="11" t="n">
        <f aca="false">MAX(H27,0)-I27</f>
        <v>343615</v>
      </c>
      <c r="K27" s="11" t="n">
        <f aca="false">MIN(IF(A27&gt;0,Calculator!$B$13,0)+E27+Calculator!$B$14,'Tax Tables'!$B$36)</f>
        <v>1000</v>
      </c>
      <c r="L27" s="11" t="n">
        <f aca="false">MAX(A27-K27,0)</f>
        <v>6000</v>
      </c>
      <c r="M27" s="11" t="n">
        <f aca="false">SUMPRODUCT((L27&gt;'Tax Tables'!$A$5:$A$17)*(L27-'Tax Tables'!$A$5:$A$17)*'Tax Tables'!$C$5:$C$17)</f>
        <v>0</v>
      </c>
      <c r="N27" s="11" t="n">
        <f aca="false">IF(H27&lt;0,-1E+099,A27-E27-M27+J27+(E27+F27)*Calculator!$B$9)</f>
        <v>350615</v>
      </c>
      <c r="O27" s="2"/>
      <c r="P27" s="11" t="n">
        <f aca="false">14*$B$3</f>
        <v>7000</v>
      </c>
      <c r="Q27" s="11" t="n">
        <f aca="false">MIN(P27,'Tax Tables'!$B$31*'Tax Tables'!$B$32)</f>
        <v>7000</v>
      </c>
      <c r="R27" s="11" t="n">
        <f aca="false">P27-Q27</f>
        <v>0</v>
      </c>
      <c r="S27" s="11" t="n">
        <f aca="false">IF(Calculator!$B$6="Yes",MIN(Q27,'Tax Tables'!$B$31*'Tax Tables'!$B$32),0)</f>
        <v>7000</v>
      </c>
      <c r="T27" s="11" t="n">
        <f aca="false">S27*Calculator!$B$7</f>
        <v>1400</v>
      </c>
      <c r="U27" s="11" t="n">
        <f aca="false">S27*Calculator!$B$8</f>
        <v>1190</v>
      </c>
      <c r="V27" s="11" t="n">
        <f aca="false">IF(Q27&gt;0,'Tax Tables'!$B$32*MIN(MAX(Q27/'Tax Tables'!$B$32*'Tax Tables'!$B$33,'Tax Tables'!$B$34),'Tax Tables'!$B$35),0)</f>
        <v>24</v>
      </c>
      <c r="W27" s="11" t="n">
        <f aca="false">Calculator!$B$5-P27-U27-V27</f>
        <v>391786</v>
      </c>
      <c r="X27" s="11" t="n">
        <f aca="false">'Tax Tables'!$B$22*(MAX(W27,0)-IF(Calculator!$B$10="Yes",MIN(MAX(W27,0),'Tax Tables'!$B$27)*'Tax Tables'!$B$28+MIN(MAX(MAX(W27,0)-'Tax Tables'!$B$27,0),'Tax Tables'!$B$29)*'Tax Tables'!$B$30,MIN(MAX(W27,0),'Tax Tables'!$B$23)*'Tax Tables'!$B$24+MIN(MAX(MAX(W27,0)-'Tax Tables'!$B$23,0),'Tax Tables'!$B$25)*'Tax Tables'!$B$26))*1-MIN('Tax Tables'!$B$22*(MAX(W27,0)-IF(Calculator!$B$10="Yes",MIN(MAX(W27,0),'Tax Tables'!$B$27)*'Tax Tables'!$B$28+MIN(MAX(MAX(W27,0)-'Tax Tables'!$B$27,0),'Tax Tables'!$B$29)*'Tax Tables'!$B$30,MIN(MAX(W27,0),'Tax Tables'!$B$23)*'Tax Tables'!$B$24+MIN(MAX(MAX(W27,0)-'Tax Tables'!$B$23,0),'Tax Tables'!$B$25)*'Tax Tables'!$B$26))*Calculator!$B$11,Calculator!$B$12)</f>
        <v>49178.62</v>
      </c>
      <c r="Y27" s="11" t="n">
        <f aca="false">MAX(W27,0)-X27</f>
        <v>342607.38</v>
      </c>
      <c r="Z27" s="11" t="n">
        <f aca="false">MIN(IF(P27&gt;0,Calculator!$B$13,0)+T27+Calculator!$B$14,'Tax Tables'!$B$36)</f>
        <v>2400</v>
      </c>
      <c r="AA27" s="11" t="n">
        <f aca="false">MAX(P27-Z27,0)</f>
        <v>4600</v>
      </c>
      <c r="AB27" s="11" t="n">
        <f aca="false">SUMPRODUCT((AA27&gt;'Tax Tables'!$A$5:$A$17)*(AA27-'Tax Tables'!$A$5:$A$17)*'Tax Tables'!$C$5:$C$17)</f>
        <v>0</v>
      </c>
      <c r="AC27" s="11" t="n">
        <f aca="false">IF(W27&lt;0,-1E+099,P27-T27-AB27+Y27+(T27+U27)*Calculator!$B$9)</f>
        <v>350797.38</v>
      </c>
    </row>
    <row r="28" customFormat="false" ht="15" hidden="false" customHeight="false" outlineLevel="0" collapsed="false">
      <c r="A28" s="11" t="n">
        <f aca="false">15*$B$3</f>
        <v>7500</v>
      </c>
      <c r="B28" s="11" t="n">
        <f aca="false">0</f>
        <v>0</v>
      </c>
      <c r="C28" s="11" t="n">
        <f aca="false">A28-B28</f>
        <v>7500</v>
      </c>
      <c r="D28" s="11" t="n">
        <f aca="false">IF(Calculator!$B$6="Yes",MIN(B28,'Tax Tables'!$B$31*'Tax Tables'!$B$32),0)</f>
        <v>0</v>
      </c>
      <c r="E28" s="11" t="n">
        <f aca="false">D28*Calculator!$B$7</f>
        <v>0</v>
      </c>
      <c r="F28" s="11" t="n">
        <f aca="false">D28*Calculator!$B$8</f>
        <v>0</v>
      </c>
      <c r="G28" s="11" t="n">
        <f aca="false">IF(B28&gt;0,'Tax Tables'!$B$32*MIN(MAX(B28/'Tax Tables'!$B$32*'Tax Tables'!$B$33,'Tax Tables'!$B$34),'Tax Tables'!$B$35),0)</f>
        <v>0</v>
      </c>
      <c r="H28" s="11" t="n">
        <f aca="false">Calculator!$B$5-A28-F28-G28</f>
        <v>392500</v>
      </c>
      <c r="I28" s="11" t="n">
        <f aca="false">'Tax Tables'!$B$22*(MAX(H28,0)-IF(Calculator!$B$10="Yes",MIN(MAX(H28,0),'Tax Tables'!$B$27)*'Tax Tables'!$B$28+MIN(MAX(MAX(H28,0)-'Tax Tables'!$B$27,0),'Tax Tables'!$B$29)*'Tax Tables'!$B$30,MIN(MAX(H28,0),'Tax Tables'!$B$23)*'Tax Tables'!$B$24+MIN(MAX(MAX(H28,0)-'Tax Tables'!$B$23,0),'Tax Tables'!$B$25)*'Tax Tables'!$B$26))*1-MIN('Tax Tables'!$B$22*(MAX(H28,0)-IF(Calculator!$B$10="Yes",MIN(MAX(H28,0),'Tax Tables'!$B$27)*'Tax Tables'!$B$28+MIN(MAX(MAX(H28,0)-'Tax Tables'!$B$27,0),'Tax Tables'!$B$29)*'Tax Tables'!$B$30,MIN(MAX(H28,0),'Tax Tables'!$B$23)*'Tax Tables'!$B$24+MIN(MAX(MAX(H28,0)-'Tax Tables'!$B$23,0),'Tax Tables'!$B$25)*'Tax Tables'!$B$26))*Calculator!$B$11,Calculator!$B$12)</f>
        <v>49300</v>
      </c>
      <c r="J28" s="11" t="n">
        <f aca="false">MAX(H28,0)-I28</f>
        <v>343200</v>
      </c>
      <c r="K28" s="11" t="n">
        <f aca="false">MIN(IF(A28&gt;0,Calculator!$B$13,0)+E28+Calculator!$B$14,'Tax Tables'!$B$36)</f>
        <v>1000</v>
      </c>
      <c r="L28" s="11" t="n">
        <f aca="false">MAX(A28-K28,0)</f>
        <v>6500</v>
      </c>
      <c r="M28" s="11" t="n">
        <f aca="false">SUMPRODUCT((L28&gt;'Tax Tables'!$A$5:$A$17)*(L28-'Tax Tables'!$A$5:$A$17)*'Tax Tables'!$C$5:$C$17)</f>
        <v>0</v>
      </c>
      <c r="N28" s="11" t="n">
        <f aca="false">IF(H28&lt;0,-1E+099,A28-E28-M28+J28+(E28+F28)*Calculator!$B$9)</f>
        <v>350700</v>
      </c>
      <c r="O28" s="2"/>
      <c r="P28" s="11" t="n">
        <f aca="false">15*$B$3</f>
        <v>7500</v>
      </c>
      <c r="Q28" s="11" t="n">
        <f aca="false">MIN(P28,'Tax Tables'!$B$31*'Tax Tables'!$B$32)</f>
        <v>7500</v>
      </c>
      <c r="R28" s="11" t="n">
        <f aca="false">P28-Q28</f>
        <v>0</v>
      </c>
      <c r="S28" s="11" t="n">
        <f aca="false">IF(Calculator!$B$6="Yes",MIN(Q28,'Tax Tables'!$B$31*'Tax Tables'!$B$32),0)</f>
        <v>7500</v>
      </c>
      <c r="T28" s="11" t="n">
        <f aca="false">S28*Calculator!$B$7</f>
        <v>1500</v>
      </c>
      <c r="U28" s="11" t="n">
        <f aca="false">S28*Calculator!$B$8</f>
        <v>1275</v>
      </c>
      <c r="V28" s="11" t="n">
        <f aca="false">IF(Q28&gt;0,'Tax Tables'!$B$32*MIN(MAX(Q28/'Tax Tables'!$B$32*'Tax Tables'!$B$33,'Tax Tables'!$B$34),'Tax Tables'!$B$35),0)</f>
        <v>24</v>
      </c>
      <c r="W28" s="11" t="n">
        <f aca="false">Calculator!$B$5-P28-U28-V28</f>
        <v>391201</v>
      </c>
      <c r="X28" s="11" t="n">
        <f aca="false">'Tax Tables'!$B$22*(MAX(W28,0)-IF(Calculator!$B$10="Yes",MIN(MAX(W28,0),'Tax Tables'!$B$27)*'Tax Tables'!$B$28+MIN(MAX(MAX(W28,0)-'Tax Tables'!$B$27,0),'Tax Tables'!$B$29)*'Tax Tables'!$B$30,MIN(MAX(W28,0),'Tax Tables'!$B$23)*'Tax Tables'!$B$24+MIN(MAX(MAX(W28,0)-'Tax Tables'!$B$23,0),'Tax Tables'!$B$25)*'Tax Tables'!$B$26))*1-MIN('Tax Tables'!$B$22*(MAX(W28,0)-IF(Calculator!$B$10="Yes",MIN(MAX(W28,0),'Tax Tables'!$B$27)*'Tax Tables'!$B$28+MIN(MAX(MAX(W28,0)-'Tax Tables'!$B$27,0),'Tax Tables'!$B$29)*'Tax Tables'!$B$30,MIN(MAX(W28,0),'Tax Tables'!$B$23)*'Tax Tables'!$B$24+MIN(MAX(MAX(W28,0)-'Tax Tables'!$B$23,0),'Tax Tables'!$B$25)*'Tax Tables'!$B$26))*Calculator!$B$11,Calculator!$B$12)</f>
        <v>49079.17</v>
      </c>
      <c r="Y28" s="11" t="n">
        <f aca="false">MAX(W28,0)-X28</f>
        <v>342121.83</v>
      </c>
      <c r="Z28" s="11" t="n">
        <f aca="false">MIN(IF(P28&gt;0,Calculator!$B$13,0)+T28+Calculator!$B$14,'Tax Tables'!$B$36)</f>
        <v>2500</v>
      </c>
      <c r="AA28" s="11" t="n">
        <f aca="false">MAX(P28-Z28,0)</f>
        <v>5000</v>
      </c>
      <c r="AB28" s="11" t="n">
        <f aca="false">SUMPRODUCT((AA28&gt;'Tax Tables'!$A$5:$A$17)*(AA28-'Tax Tables'!$A$5:$A$17)*'Tax Tables'!$C$5:$C$17)</f>
        <v>0</v>
      </c>
      <c r="AC28" s="11" t="n">
        <f aca="false">IF(W28&lt;0,-1E+099,P28-T28-AB28+Y28+(T28+U28)*Calculator!$B$9)</f>
        <v>350896.83</v>
      </c>
    </row>
    <row r="29" customFormat="false" ht="15" hidden="false" customHeight="false" outlineLevel="0" collapsed="false">
      <c r="A29" s="11" t="n">
        <f aca="false">16*$B$3</f>
        <v>8000</v>
      </c>
      <c r="B29" s="11" t="n">
        <f aca="false">0</f>
        <v>0</v>
      </c>
      <c r="C29" s="11" t="n">
        <f aca="false">A29-B29</f>
        <v>8000</v>
      </c>
      <c r="D29" s="11" t="n">
        <f aca="false">IF(Calculator!$B$6="Yes",MIN(B29,'Tax Tables'!$B$31*'Tax Tables'!$B$32),0)</f>
        <v>0</v>
      </c>
      <c r="E29" s="11" t="n">
        <f aca="false">D29*Calculator!$B$7</f>
        <v>0</v>
      </c>
      <c r="F29" s="11" t="n">
        <f aca="false">D29*Calculator!$B$8</f>
        <v>0</v>
      </c>
      <c r="G29" s="11" t="n">
        <f aca="false">IF(B29&gt;0,'Tax Tables'!$B$32*MIN(MAX(B29/'Tax Tables'!$B$32*'Tax Tables'!$B$33,'Tax Tables'!$B$34),'Tax Tables'!$B$35),0)</f>
        <v>0</v>
      </c>
      <c r="H29" s="11" t="n">
        <f aca="false">Calculator!$B$5-A29-F29-G29</f>
        <v>392000</v>
      </c>
      <c r="I29" s="11" t="n">
        <f aca="false">'Tax Tables'!$B$22*(MAX(H29,0)-IF(Calculator!$B$10="Yes",MIN(MAX(H29,0),'Tax Tables'!$B$27)*'Tax Tables'!$B$28+MIN(MAX(MAX(H29,0)-'Tax Tables'!$B$27,0),'Tax Tables'!$B$29)*'Tax Tables'!$B$30,MIN(MAX(H29,0),'Tax Tables'!$B$23)*'Tax Tables'!$B$24+MIN(MAX(MAX(H29,0)-'Tax Tables'!$B$23,0),'Tax Tables'!$B$25)*'Tax Tables'!$B$26))*1-MIN('Tax Tables'!$B$22*(MAX(H29,0)-IF(Calculator!$B$10="Yes",MIN(MAX(H29,0),'Tax Tables'!$B$27)*'Tax Tables'!$B$28+MIN(MAX(MAX(H29,0)-'Tax Tables'!$B$27,0),'Tax Tables'!$B$29)*'Tax Tables'!$B$30,MIN(MAX(H29,0),'Tax Tables'!$B$23)*'Tax Tables'!$B$24+MIN(MAX(MAX(H29,0)-'Tax Tables'!$B$23,0),'Tax Tables'!$B$25)*'Tax Tables'!$B$26))*Calculator!$B$11,Calculator!$B$12)</f>
        <v>49215</v>
      </c>
      <c r="J29" s="11" t="n">
        <f aca="false">MAX(H29,0)-I29</f>
        <v>342785</v>
      </c>
      <c r="K29" s="11" t="n">
        <f aca="false">MIN(IF(A29&gt;0,Calculator!$B$13,0)+E29+Calculator!$B$14,'Tax Tables'!$B$36)</f>
        <v>1000</v>
      </c>
      <c r="L29" s="11" t="n">
        <f aca="false">MAX(A29-K29,0)</f>
        <v>7000</v>
      </c>
      <c r="M29" s="11" t="n">
        <f aca="false">SUMPRODUCT((L29&gt;'Tax Tables'!$A$5:$A$17)*(L29-'Tax Tables'!$A$5:$A$17)*'Tax Tables'!$C$5:$C$17)</f>
        <v>0</v>
      </c>
      <c r="N29" s="11" t="n">
        <f aca="false">IF(H29&lt;0,-1E+099,A29-E29-M29+J29+(E29+F29)*Calculator!$B$9)</f>
        <v>350785</v>
      </c>
      <c r="O29" s="2"/>
      <c r="P29" s="11" t="n">
        <f aca="false">16*$B$3</f>
        <v>8000</v>
      </c>
      <c r="Q29" s="11" t="n">
        <f aca="false">MIN(P29,'Tax Tables'!$B$31*'Tax Tables'!$B$32)</f>
        <v>8000</v>
      </c>
      <c r="R29" s="11" t="n">
        <f aca="false">P29-Q29</f>
        <v>0</v>
      </c>
      <c r="S29" s="11" t="n">
        <f aca="false">IF(Calculator!$B$6="Yes",MIN(Q29,'Tax Tables'!$B$31*'Tax Tables'!$B$32),0)</f>
        <v>8000</v>
      </c>
      <c r="T29" s="11" t="n">
        <f aca="false">S29*Calculator!$B$7</f>
        <v>1600</v>
      </c>
      <c r="U29" s="11" t="n">
        <f aca="false">S29*Calculator!$B$8</f>
        <v>1360</v>
      </c>
      <c r="V29" s="11" t="n">
        <f aca="false">IF(Q29&gt;0,'Tax Tables'!$B$32*MIN(MAX(Q29/'Tax Tables'!$B$32*'Tax Tables'!$B$33,'Tax Tables'!$B$34),'Tax Tables'!$B$35),0)</f>
        <v>24</v>
      </c>
      <c r="W29" s="11" t="n">
        <f aca="false">Calculator!$B$5-P29-U29-V29</f>
        <v>390616</v>
      </c>
      <c r="X29" s="11" t="n">
        <f aca="false">'Tax Tables'!$B$22*(MAX(W29,0)-IF(Calculator!$B$10="Yes",MIN(MAX(W29,0),'Tax Tables'!$B$27)*'Tax Tables'!$B$28+MIN(MAX(MAX(W29,0)-'Tax Tables'!$B$27,0),'Tax Tables'!$B$29)*'Tax Tables'!$B$30,MIN(MAX(W29,0),'Tax Tables'!$B$23)*'Tax Tables'!$B$24+MIN(MAX(MAX(W29,0)-'Tax Tables'!$B$23,0),'Tax Tables'!$B$25)*'Tax Tables'!$B$26))*1-MIN('Tax Tables'!$B$22*(MAX(W29,0)-IF(Calculator!$B$10="Yes",MIN(MAX(W29,0),'Tax Tables'!$B$27)*'Tax Tables'!$B$28+MIN(MAX(MAX(W29,0)-'Tax Tables'!$B$27,0),'Tax Tables'!$B$29)*'Tax Tables'!$B$30,MIN(MAX(W29,0),'Tax Tables'!$B$23)*'Tax Tables'!$B$24+MIN(MAX(MAX(W29,0)-'Tax Tables'!$B$23,0),'Tax Tables'!$B$25)*'Tax Tables'!$B$26))*Calculator!$B$11,Calculator!$B$12)</f>
        <v>48979.72</v>
      </c>
      <c r="Y29" s="11" t="n">
        <f aca="false">MAX(W29,0)-X29</f>
        <v>341636.28</v>
      </c>
      <c r="Z29" s="11" t="n">
        <f aca="false">MIN(IF(P29&gt;0,Calculator!$B$13,0)+T29+Calculator!$B$14,'Tax Tables'!$B$36)</f>
        <v>2600</v>
      </c>
      <c r="AA29" s="11" t="n">
        <f aca="false">MAX(P29-Z29,0)</f>
        <v>5400</v>
      </c>
      <c r="AB29" s="11" t="n">
        <f aca="false">SUMPRODUCT((AA29&gt;'Tax Tables'!$A$5:$A$17)*(AA29-'Tax Tables'!$A$5:$A$17)*'Tax Tables'!$C$5:$C$17)</f>
        <v>0</v>
      </c>
      <c r="AC29" s="11" t="n">
        <f aca="false">IF(W29&lt;0,-1E+099,P29-T29-AB29+Y29+(T29+U29)*Calculator!$B$9)</f>
        <v>350996.28</v>
      </c>
    </row>
    <row r="30" customFormat="false" ht="15" hidden="false" customHeight="false" outlineLevel="0" collapsed="false">
      <c r="A30" s="11" t="n">
        <f aca="false">17*$B$3</f>
        <v>8500</v>
      </c>
      <c r="B30" s="11" t="n">
        <f aca="false">0</f>
        <v>0</v>
      </c>
      <c r="C30" s="11" t="n">
        <f aca="false">A30-B30</f>
        <v>8500</v>
      </c>
      <c r="D30" s="11" t="n">
        <f aca="false">IF(Calculator!$B$6="Yes",MIN(B30,'Tax Tables'!$B$31*'Tax Tables'!$B$32),0)</f>
        <v>0</v>
      </c>
      <c r="E30" s="11" t="n">
        <f aca="false">D30*Calculator!$B$7</f>
        <v>0</v>
      </c>
      <c r="F30" s="11" t="n">
        <f aca="false">D30*Calculator!$B$8</f>
        <v>0</v>
      </c>
      <c r="G30" s="11" t="n">
        <f aca="false">IF(B30&gt;0,'Tax Tables'!$B$32*MIN(MAX(B30/'Tax Tables'!$B$32*'Tax Tables'!$B$33,'Tax Tables'!$B$34),'Tax Tables'!$B$35),0)</f>
        <v>0</v>
      </c>
      <c r="H30" s="11" t="n">
        <f aca="false">Calculator!$B$5-A30-F30-G30</f>
        <v>391500</v>
      </c>
      <c r="I30" s="11" t="n">
        <f aca="false">'Tax Tables'!$B$22*(MAX(H30,0)-IF(Calculator!$B$10="Yes",MIN(MAX(H30,0),'Tax Tables'!$B$27)*'Tax Tables'!$B$28+MIN(MAX(MAX(H30,0)-'Tax Tables'!$B$27,0),'Tax Tables'!$B$29)*'Tax Tables'!$B$30,MIN(MAX(H30,0),'Tax Tables'!$B$23)*'Tax Tables'!$B$24+MIN(MAX(MAX(H30,0)-'Tax Tables'!$B$23,0),'Tax Tables'!$B$25)*'Tax Tables'!$B$26))*1-MIN('Tax Tables'!$B$22*(MAX(H30,0)-IF(Calculator!$B$10="Yes",MIN(MAX(H30,0),'Tax Tables'!$B$27)*'Tax Tables'!$B$28+MIN(MAX(MAX(H30,0)-'Tax Tables'!$B$27,0),'Tax Tables'!$B$29)*'Tax Tables'!$B$30,MIN(MAX(H30,0),'Tax Tables'!$B$23)*'Tax Tables'!$B$24+MIN(MAX(MAX(H30,0)-'Tax Tables'!$B$23,0),'Tax Tables'!$B$25)*'Tax Tables'!$B$26))*Calculator!$B$11,Calculator!$B$12)</f>
        <v>49130</v>
      </c>
      <c r="J30" s="11" t="n">
        <f aca="false">MAX(H30,0)-I30</f>
        <v>342370</v>
      </c>
      <c r="K30" s="11" t="n">
        <f aca="false">MIN(IF(A30&gt;0,Calculator!$B$13,0)+E30+Calculator!$B$14,'Tax Tables'!$B$36)</f>
        <v>1000</v>
      </c>
      <c r="L30" s="11" t="n">
        <f aca="false">MAX(A30-K30,0)</f>
        <v>7500</v>
      </c>
      <c r="M30" s="11" t="n">
        <f aca="false">SUMPRODUCT((L30&gt;'Tax Tables'!$A$5:$A$17)*(L30-'Tax Tables'!$A$5:$A$17)*'Tax Tables'!$C$5:$C$17)</f>
        <v>0</v>
      </c>
      <c r="N30" s="11" t="n">
        <f aca="false">IF(H30&lt;0,-1E+099,A30-E30-M30+J30+(E30+F30)*Calculator!$B$9)</f>
        <v>350870</v>
      </c>
      <c r="O30" s="2"/>
      <c r="P30" s="11" t="n">
        <f aca="false">17*$B$3</f>
        <v>8500</v>
      </c>
      <c r="Q30" s="11" t="n">
        <f aca="false">MIN(P30,'Tax Tables'!$B$31*'Tax Tables'!$B$32)</f>
        <v>8500</v>
      </c>
      <c r="R30" s="11" t="n">
        <f aca="false">P30-Q30</f>
        <v>0</v>
      </c>
      <c r="S30" s="11" t="n">
        <f aca="false">IF(Calculator!$B$6="Yes",MIN(Q30,'Tax Tables'!$B$31*'Tax Tables'!$B$32),0)</f>
        <v>8500</v>
      </c>
      <c r="T30" s="11" t="n">
        <f aca="false">S30*Calculator!$B$7</f>
        <v>1700</v>
      </c>
      <c r="U30" s="11" t="n">
        <f aca="false">S30*Calculator!$B$8</f>
        <v>1445</v>
      </c>
      <c r="V30" s="11" t="n">
        <f aca="false">IF(Q30&gt;0,'Tax Tables'!$B$32*MIN(MAX(Q30/'Tax Tables'!$B$32*'Tax Tables'!$B$33,'Tax Tables'!$B$34),'Tax Tables'!$B$35),0)</f>
        <v>24</v>
      </c>
      <c r="W30" s="11" t="n">
        <f aca="false">Calculator!$B$5-P30-U30-V30</f>
        <v>390031</v>
      </c>
      <c r="X30" s="11" t="n">
        <f aca="false">'Tax Tables'!$B$22*(MAX(W30,0)-IF(Calculator!$B$10="Yes",MIN(MAX(W30,0),'Tax Tables'!$B$27)*'Tax Tables'!$B$28+MIN(MAX(MAX(W30,0)-'Tax Tables'!$B$27,0),'Tax Tables'!$B$29)*'Tax Tables'!$B$30,MIN(MAX(W30,0),'Tax Tables'!$B$23)*'Tax Tables'!$B$24+MIN(MAX(MAX(W30,0)-'Tax Tables'!$B$23,0),'Tax Tables'!$B$25)*'Tax Tables'!$B$26))*1-MIN('Tax Tables'!$B$22*(MAX(W30,0)-IF(Calculator!$B$10="Yes",MIN(MAX(W30,0),'Tax Tables'!$B$27)*'Tax Tables'!$B$28+MIN(MAX(MAX(W30,0)-'Tax Tables'!$B$27,0),'Tax Tables'!$B$29)*'Tax Tables'!$B$30,MIN(MAX(W30,0),'Tax Tables'!$B$23)*'Tax Tables'!$B$24+MIN(MAX(MAX(W30,0)-'Tax Tables'!$B$23,0),'Tax Tables'!$B$25)*'Tax Tables'!$B$26))*Calculator!$B$11,Calculator!$B$12)</f>
        <v>48880.27</v>
      </c>
      <c r="Y30" s="11" t="n">
        <f aca="false">MAX(W30,0)-X30</f>
        <v>341150.73</v>
      </c>
      <c r="Z30" s="11" t="n">
        <f aca="false">MIN(IF(P30&gt;0,Calculator!$B$13,0)+T30+Calculator!$B$14,'Tax Tables'!$B$36)</f>
        <v>2700</v>
      </c>
      <c r="AA30" s="11" t="n">
        <f aca="false">MAX(P30-Z30,0)</f>
        <v>5800</v>
      </c>
      <c r="AB30" s="11" t="n">
        <f aca="false">SUMPRODUCT((AA30&gt;'Tax Tables'!$A$5:$A$17)*(AA30-'Tax Tables'!$A$5:$A$17)*'Tax Tables'!$C$5:$C$17)</f>
        <v>0</v>
      </c>
      <c r="AC30" s="11" t="n">
        <f aca="false">IF(W30&lt;0,-1E+099,P30-T30-AB30+Y30+(T30+U30)*Calculator!$B$9)</f>
        <v>351095.73</v>
      </c>
    </row>
    <row r="31" customFormat="false" ht="15" hidden="false" customHeight="false" outlineLevel="0" collapsed="false">
      <c r="A31" s="11" t="n">
        <f aca="false">18*$B$3</f>
        <v>9000</v>
      </c>
      <c r="B31" s="11" t="n">
        <f aca="false">0</f>
        <v>0</v>
      </c>
      <c r="C31" s="11" t="n">
        <f aca="false">A31-B31</f>
        <v>9000</v>
      </c>
      <c r="D31" s="11" t="n">
        <f aca="false">IF(Calculator!$B$6="Yes",MIN(B31,'Tax Tables'!$B$31*'Tax Tables'!$B$32),0)</f>
        <v>0</v>
      </c>
      <c r="E31" s="11" t="n">
        <f aca="false">D31*Calculator!$B$7</f>
        <v>0</v>
      </c>
      <c r="F31" s="11" t="n">
        <f aca="false">D31*Calculator!$B$8</f>
        <v>0</v>
      </c>
      <c r="G31" s="11" t="n">
        <f aca="false">IF(B31&gt;0,'Tax Tables'!$B$32*MIN(MAX(B31/'Tax Tables'!$B$32*'Tax Tables'!$B$33,'Tax Tables'!$B$34),'Tax Tables'!$B$35),0)</f>
        <v>0</v>
      </c>
      <c r="H31" s="11" t="n">
        <f aca="false">Calculator!$B$5-A31-F31-G31</f>
        <v>391000</v>
      </c>
      <c r="I31" s="11" t="n">
        <f aca="false">'Tax Tables'!$B$22*(MAX(H31,0)-IF(Calculator!$B$10="Yes",MIN(MAX(H31,0),'Tax Tables'!$B$27)*'Tax Tables'!$B$28+MIN(MAX(MAX(H31,0)-'Tax Tables'!$B$27,0),'Tax Tables'!$B$29)*'Tax Tables'!$B$30,MIN(MAX(H31,0),'Tax Tables'!$B$23)*'Tax Tables'!$B$24+MIN(MAX(MAX(H31,0)-'Tax Tables'!$B$23,0),'Tax Tables'!$B$25)*'Tax Tables'!$B$26))*1-MIN('Tax Tables'!$B$22*(MAX(H31,0)-IF(Calculator!$B$10="Yes",MIN(MAX(H31,0),'Tax Tables'!$B$27)*'Tax Tables'!$B$28+MIN(MAX(MAX(H31,0)-'Tax Tables'!$B$27,0),'Tax Tables'!$B$29)*'Tax Tables'!$B$30,MIN(MAX(H31,0),'Tax Tables'!$B$23)*'Tax Tables'!$B$24+MIN(MAX(MAX(H31,0)-'Tax Tables'!$B$23,0),'Tax Tables'!$B$25)*'Tax Tables'!$B$26))*Calculator!$B$11,Calculator!$B$12)</f>
        <v>49045</v>
      </c>
      <c r="J31" s="11" t="n">
        <f aca="false">MAX(H31,0)-I31</f>
        <v>341955</v>
      </c>
      <c r="K31" s="11" t="n">
        <f aca="false">MIN(IF(A31&gt;0,Calculator!$B$13,0)+E31+Calculator!$B$14,'Tax Tables'!$B$36)</f>
        <v>1000</v>
      </c>
      <c r="L31" s="11" t="n">
        <f aca="false">MAX(A31-K31,0)</f>
        <v>8000</v>
      </c>
      <c r="M31" s="11" t="n">
        <f aca="false">SUMPRODUCT((L31&gt;'Tax Tables'!$A$5:$A$17)*(L31-'Tax Tables'!$A$5:$A$17)*'Tax Tables'!$C$5:$C$17)</f>
        <v>0</v>
      </c>
      <c r="N31" s="11" t="n">
        <f aca="false">IF(H31&lt;0,-1E+099,A31-E31-M31+J31+(E31+F31)*Calculator!$B$9)</f>
        <v>350955</v>
      </c>
      <c r="O31" s="2"/>
      <c r="P31" s="11" t="n">
        <f aca="false">18*$B$3</f>
        <v>9000</v>
      </c>
      <c r="Q31" s="11" t="n">
        <f aca="false">MIN(P31,'Tax Tables'!$B$31*'Tax Tables'!$B$32)</f>
        <v>9000</v>
      </c>
      <c r="R31" s="11" t="n">
        <f aca="false">P31-Q31</f>
        <v>0</v>
      </c>
      <c r="S31" s="11" t="n">
        <f aca="false">IF(Calculator!$B$6="Yes",MIN(Q31,'Tax Tables'!$B$31*'Tax Tables'!$B$32),0)</f>
        <v>9000</v>
      </c>
      <c r="T31" s="11" t="n">
        <f aca="false">S31*Calculator!$B$7</f>
        <v>1800</v>
      </c>
      <c r="U31" s="11" t="n">
        <f aca="false">S31*Calculator!$B$8</f>
        <v>1530</v>
      </c>
      <c r="V31" s="11" t="n">
        <f aca="false">IF(Q31&gt;0,'Tax Tables'!$B$32*MIN(MAX(Q31/'Tax Tables'!$B$32*'Tax Tables'!$B$33,'Tax Tables'!$B$34),'Tax Tables'!$B$35),0)</f>
        <v>24</v>
      </c>
      <c r="W31" s="11" t="n">
        <f aca="false">Calculator!$B$5-P31-U31-V31</f>
        <v>389446</v>
      </c>
      <c r="X31" s="11" t="n">
        <f aca="false">'Tax Tables'!$B$22*(MAX(W31,0)-IF(Calculator!$B$10="Yes",MIN(MAX(W31,0),'Tax Tables'!$B$27)*'Tax Tables'!$B$28+MIN(MAX(MAX(W31,0)-'Tax Tables'!$B$27,0),'Tax Tables'!$B$29)*'Tax Tables'!$B$30,MIN(MAX(W31,0),'Tax Tables'!$B$23)*'Tax Tables'!$B$24+MIN(MAX(MAX(W31,0)-'Tax Tables'!$B$23,0),'Tax Tables'!$B$25)*'Tax Tables'!$B$26))*1-MIN('Tax Tables'!$B$22*(MAX(W31,0)-IF(Calculator!$B$10="Yes",MIN(MAX(W31,0),'Tax Tables'!$B$27)*'Tax Tables'!$B$28+MIN(MAX(MAX(W31,0)-'Tax Tables'!$B$27,0),'Tax Tables'!$B$29)*'Tax Tables'!$B$30,MIN(MAX(W31,0),'Tax Tables'!$B$23)*'Tax Tables'!$B$24+MIN(MAX(MAX(W31,0)-'Tax Tables'!$B$23,0),'Tax Tables'!$B$25)*'Tax Tables'!$B$26))*Calculator!$B$11,Calculator!$B$12)</f>
        <v>48780.82</v>
      </c>
      <c r="Y31" s="11" t="n">
        <f aca="false">MAX(W31,0)-X31</f>
        <v>340665.18</v>
      </c>
      <c r="Z31" s="11" t="n">
        <f aca="false">MIN(IF(P31&gt;0,Calculator!$B$13,0)+T31+Calculator!$B$14,'Tax Tables'!$B$36)</f>
        <v>2800</v>
      </c>
      <c r="AA31" s="11" t="n">
        <f aca="false">MAX(P31-Z31,0)</f>
        <v>6200</v>
      </c>
      <c r="AB31" s="11" t="n">
        <f aca="false">SUMPRODUCT((AA31&gt;'Tax Tables'!$A$5:$A$17)*(AA31-'Tax Tables'!$A$5:$A$17)*'Tax Tables'!$C$5:$C$17)</f>
        <v>0</v>
      </c>
      <c r="AC31" s="11" t="n">
        <f aca="false">IF(W31&lt;0,-1E+099,P31-T31-AB31+Y31+(T31+U31)*Calculator!$B$9)</f>
        <v>351195.18</v>
      </c>
    </row>
    <row r="32" customFormat="false" ht="15" hidden="false" customHeight="false" outlineLevel="0" collapsed="false">
      <c r="A32" s="11" t="n">
        <f aca="false">19*$B$3</f>
        <v>9500</v>
      </c>
      <c r="B32" s="11" t="n">
        <f aca="false">0</f>
        <v>0</v>
      </c>
      <c r="C32" s="11" t="n">
        <f aca="false">A32-B32</f>
        <v>9500</v>
      </c>
      <c r="D32" s="11" t="n">
        <f aca="false">IF(Calculator!$B$6="Yes",MIN(B32,'Tax Tables'!$B$31*'Tax Tables'!$B$32),0)</f>
        <v>0</v>
      </c>
      <c r="E32" s="11" t="n">
        <f aca="false">D32*Calculator!$B$7</f>
        <v>0</v>
      </c>
      <c r="F32" s="11" t="n">
        <f aca="false">D32*Calculator!$B$8</f>
        <v>0</v>
      </c>
      <c r="G32" s="11" t="n">
        <f aca="false">IF(B32&gt;0,'Tax Tables'!$B$32*MIN(MAX(B32/'Tax Tables'!$B$32*'Tax Tables'!$B$33,'Tax Tables'!$B$34),'Tax Tables'!$B$35),0)</f>
        <v>0</v>
      </c>
      <c r="H32" s="11" t="n">
        <f aca="false">Calculator!$B$5-A32-F32-G32</f>
        <v>390500</v>
      </c>
      <c r="I32" s="11" t="n">
        <f aca="false">'Tax Tables'!$B$22*(MAX(H32,0)-IF(Calculator!$B$10="Yes",MIN(MAX(H32,0),'Tax Tables'!$B$27)*'Tax Tables'!$B$28+MIN(MAX(MAX(H32,0)-'Tax Tables'!$B$27,0),'Tax Tables'!$B$29)*'Tax Tables'!$B$30,MIN(MAX(H32,0),'Tax Tables'!$B$23)*'Tax Tables'!$B$24+MIN(MAX(MAX(H32,0)-'Tax Tables'!$B$23,0),'Tax Tables'!$B$25)*'Tax Tables'!$B$26))*1-MIN('Tax Tables'!$B$22*(MAX(H32,0)-IF(Calculator!$B$10="Yes",MIN(MAX(H32,0),'Tax Tables'!$B$27)*'Tax Tables'!$B$28+MIN(MAX(MAX(H32,0)-'Tax Tables'!$B$27,0),'Tax Tables'!$B$29)*'Tax Tables'!$B$30,MIN(MAX(H32,0),'Tax Tables'!$B$23)*'Tax Tables'!$B$24+MIN(MAX(MAX(H32,0)-'Tax Tables'!$B$23,0),'Tax Tables'!$B$25)*'Tax Tables'!$B$26))*Calculator!$B$11,Calculator!$B$12)</f>
        <v>48960</v>
      </c>
      <c r="J32" s="11" t="n">
        <f aca="false">MAX(H32,0)-I32</f>
        <v>341540</v>
      </c>
      <c r="K32" s="11" t="n">
        <f aca="false">MIN(IF(A32&gt;0,Calculator!$B$13,0)+E32+Calculator!$B$14,'Tax Tables'!$B$36)</f>
        <v>1000</v>
      </c>
      <c r="L32" s="11" t="n">
        <f aca="false">MAX(A32-K32,0)</f>
        <v>8500</v>
      </c>
      <c r="M32" s="11" t="n">
        <f aca="false">SUMPRODUCT((L32&gt;'Tax Tables'!$A$5:$A$17)*(L32-'Tax Tables'!$A$5:$A$17)*'Tax Tables'!$C$5:$C$17)</f>
        <v>0</v>
      </c>
      <c r="N32" s="11" t="n">
        <f aca="false">IF(H32&lt;0,-1E+099,A32-E32-M32+J32+(E32+F32)*Calculator!$B$9)</f>
        <v>351040</v>
      </c>
      <c r="O32" s="2"/>
      <c r="P32" s="11" t="n">
        <f aca="false">19*$B$3</f>
        <v>9500</v>
      </c>
      <c r="Q32" s="11" t="n">
        <f aca="false">MIN(P32,'Tax Tables'!$B$31*'Tax Tables'!$B$32)</f>
        <v>9500</v>
      </c>
      <c r="R32" s="11" t="n">
        <f aca="false">P32-Q32</f>
        <v>0</v>
      </c>
      <c r="S32" s="11" t="n">
        <f aca="false">IF(Calculator!$B$6="Yes",MIN(Q32,'Tax Tables'!$B$31*'Tax Tables'!$B$32),0)</f>
        <v>9500</v>
      </c>
      <c r="T32" s="11" t="n">
        <f aca="false">S32*Calculator!$B$7</f>
        <v>1900</v>
      </c>
      <c r="U32" s="11" t="n">
        <f aca="false">S32*Calculator!$B$8</f>
        <v>1615</v>
      </c>
      <c r="V32" s="11" t="n">
        <f aca="false">IF(Q32&gt;0,'Tax Tables'!$B$32*MIN(MAX(Q32/'Tax Tables'!$B$32*'Tax Tables'!$B$33,'Tax Tables'!$B$34),'Tax Tables'!$B$35),0)</f>
        <v>24</v>
      </c>
      <c r="W32" s="11" t="n">
        <f aca="false">Calculator!$B$5-P32-U32-V32</f>
        <v>388861</v>
      </c>
      <c r="X32" s="11" t="n">
        <f aca="false">'Tax Tables'!$B$22*(MAX(W32,0)-IF(Calculator!$B$10="Yes",MIN(MAX(W32,0),'Tax Tables'!$B$27)*'Tax Tables'!$B$28+MIN(MAX(MAX(W32,0)-'Tax Tables'!$B$27,0),'Tax Tables'!$B$29)*'Tax Tables'!$B$30,MIN(MAX(W32,0),'Tax Tables'!$B$23)*'Tax Tables'!$B$24+MIN(MAX(MAX(W32,0)-'Tax Tables'!$B$23,0),'Tax Tables'!$B$25)*'Tax Tables'!$B$26))*1-MIN('Tax Tables'!$B$22*(MAX(W32,0)-IF(Calculator!$B$10="Yes",MIN(MAX(W32,0),'Tax Tables'!$B$27)*'Tax Tables'!$B$28+MIN(MAX(MAX(W32,0)-'Tax Tables'!$B$27,0),'Tax Tables'!$B$29)*'Tax Tables'!$B$30,MIN(MAX(W32,0),'Tax Tables'!$B$23)*'Tax Tables'!$B$24+MIN(MAX(MAX(W32,0)-'Tax Tables'!$B$23,0),'Tax Tables'!$B$25)*'Tax Tables'!$B$26))*Calculator!$B$11,Calculator!$B$12)</f>
        <v>48681.37</v>
      </c>
      <c r="Y32" s="11" t="n">
        <f aca="false">MAX(W32,0)-X32</f>
        <v>340179.63</v>
      </c>
      <c r="Z32" s="11" t="n">
        <f aca="false">MIN(IF(P32&gt;0,Calculator!$B$13,0)+T32+Calculator!$B$14,'Tax Tables'!$B$36)</f>
        <v>2900</v>
      </c>
      <c r="AA32" s="11" t="n">
        <f aca="false">MAX(P32-Z32,0)</f>
        <v>6600</v>
      </c>
      <c r="AB32" s="11" t="n">
        <f aca="false">SUMPRODUCT((AA32&gt;'Tax Tables'!$A$5:$A$17)*(AA32-'Tax Tables'!$A$5:$A$17)*'Tax Tables'!$C$5:$C$17)</f>
        <v>0</v>
      </c>
      <c r="AC32" s="11" t="n">
        <f aca="false">IF(W32&lt;0,-1E+099,P32-T32-AB32+Y32+(T32+U32)*Calculator!$B$9)</f>
        <v>351294.63</v>
      </c>
    </row>
    <row r="33" customFormat="false" ht="15" hidden="false" customHeight="false" outlineLevel="0" collapsed="false">
      <c r="A33" s="11" t="n">
        <f aca="false">20*$B$3</f>
        <v>10000</v>
      </c>
      <c r="B33" s="11" t="n">
        <f aca="false">0</f>
        <v>0</v>
      </c>
      <c r="C33" s="11" t="n">
        <f aca="false">A33-B33</f>
        <v>10000</v>
      </c>
      <c r="D33" s="11" t="n">
        <f aca="false">IF(Calculator!$B$6="Yes",MIN(B33,'Tax Tables'!$B$31*'Tax Tables'!$B$32),0)</f>
        <v>0</v>
      </c>
      <c r="E33" s="11" t="n">
        <f aca="false">D33*Calculator!$B$7</f>
        <v>0</v>
      </c>
      <c r="F33" s="11" t="n">
        <f aca="false">D33*Calculator!$B$8</f>
        <v>0</v>
      </c>
      <c r="G33" s="11" t="n">
        <f aca="false">IF(B33&gt;0,'Tax Tables'!$B$32*MIN(MAX(B33/'Tax Tables'!$B$32*'Tax Tables'!$B$33,'Tax Tables'!$B$34),'Tax Tables'!$B$35),0)</f>
        <v>0</v>
      </c>
      <c r="H33" s="11" t="n">
        <f aca="false">Calculator!$B$5-A33-F33-G33</f>
        <v>390000</v>
      </c>
      <c r="I33" s="11" t="n">
        <f aca="false">'Tax Tables'!$B$22*(MAX(H33,0)-IF(Calculator!$B$10="Yes",MIN(MAX(H33,0),'Tax Tables'!$B$27)*'Tax Tables'!$B$28+MIN(MAX(MAX(H33,0)-'Tax Tables'!$B$27,0),'Tax Tables'!$B$29)*'Tax Tables'!$B$30,MIN(MAX(H33,0),'Tax Tables'!$B$23)*'Tax Tables'!$B$24+MIN(MAX(MAX(H33,0)-'Tax Tables'!$B$23,0),'Tax Tables'!$B$25)*'Tax Tables'!$B$26))*1-MIN('Tax Tables'!$B$22*(MAX(H33,0)-IF(Calculator!$B$10="Yes",MIN(MAX(H33,0),'Tax Tables'!$B$27)*'Tax Tables'!$B$28+MIN(MAX(MAX(H33,0)-'Tax Tables'!$B$27,0),'Tax Tables'!$B$29)*'Tax Tables'!$B$30,MIN(MAX(H33,0),'Tax Tables'!$B$23)*'Tax Tables'!$B$24+MIN(MAX(MAX(H33,0)-'Tax Tables'!$B$23,0),'Tax Tables'!$B$25)*'Tax Tables'!$B$26))*Calculator!$B$11,Calculator!$B$12)</f>
        <v>48875</v>
      </c>
      <c r="J33" s="11" t="n">
        <f aca="false">MAX(H33,0)-I33</f>
        <v>341125</v>
      </c>
      <c r="K33" s="11" t="n">
        <f aca="false">MIN(IF(A33&gt;0,Calculator!$B$13,0)+E33+Calculator!$B$14,'Tax Tables'!$B$36)</f>
        <v>1000</v>
      </c>
      <c r="L33" s="11" t="n">
        <f aca="false">MAX(A33-K33,0)</f>
        <v>9000</v>
      </c>
      <c r="M33" s="11" t="n">
        <f aca="false">SUMPRODUCT((L33&gt;'Tax Tables'!$A$5:$A$17)*(L33-'Tax Tables'!$A$5:$A$17)*'Tax Tables'!$C$5:$C$17)</f>
        <v>0</v>
      </c>
      <c r="N33" s="11" t="n">
        <f aca="false">IF(H33&lt;0,-1E+099,A33-E33-M33+J33+(E33+F33)*Calculator!$B$9)</f>
        <v>351125</v>
      </c>
      <c r="O33" s="2"/>
      <c r="P33" s="11" t="n">
        <f aca="false">20*$B$3</f>
        <v>10000</v>
      </c>
      <c r="Q33" s="11" t="n">
        <f aca="false">MIN(P33,'Tax Tables'!$B$31*'Tax Tables'!$B$32)</f>
        <v>10000</v>
      </c>
      <c r="R33" s="11" t="n">
        <f aca="false">P33-Q33</f>
        <v>0</v>
      </c>
      <c r="S33" s="11" t="n">
        <f aca="false">IF(Calculator!$B$6="Yes",MIN(Q33,'Tax Tables'!$B$31*'Tax Tables'!$B$32),0)</f>
        <v>10000</v>
      </c>
      <c r="T33" s="11" t="n">
        <f aca="false">S33*Calculator!$B$7</f>
        <v>2000</v>
      </c>
      <c r="U33" s="11" t="n">
        <f aca="false">S33*Calculator!$B$8</f>
        <v>1700</v>
      </c>
      <c r="V33" s="11" t="n">
        <f aca="false">IF(Q33&gt;0,'Tax Tables'!$B$32*MIN(MAX(Q33/'Tax Tables'!$B$32*'Tax Tables'!$B$33,'Tax Tables'!$B$34),'Tax Tables'!$B$35),0)</f>
        <v>25</v>
      </c>
      <c r="W33" s="11" t="n">
        <f aca="false">Calculator!$B$5-P33-U33-V33</f>
        <v>388275</v>
      </c>
      <c r="X33" s="11" t="n">
        <f aca="false">'Tax Tables'!$B$22*(MAX(W33,0)-IF(Calculator!$B$10="Yes",MIN(MAX(W33,0),'Tax Tables'!$B$27)*'Tax Tables'!$B$28+MIN(MAX(MAX(W33,0)-'Tax Tables'!$B$27,0),'Tax Tables'!$B$29)*'Tax Tables'!$B$30,MIN(MAX(W33,0),'Tax Tables'!$B$23)*'Tax Tables'!$B$24+MIN(MAX(MAX(W33,0)-'Tax Tables'!$B$23,0),'Tax Tables'!$B$25)*'Tax Tables'!$B$26))*1-MIN('Tax Tables'!$B$22*(MAX(W33,0)-IF(Calculator!$B$10="Yes",MIN(MAX(W33,0),'Tax Tables'!$B$27)*'Tax Tables'!$B$28+MIN(MAX(MAX(W33,0)-'Tax Tables'!$B$27,0),'Tax Tables'!$B$29)*'Tax Tables'!$B$30,MIN(MAX(W33,0),'Tax Tables'!$B$23)*'Tax Tables'!$B$24+MIN(MAX(MAX(W33,0)-'Tax Tables'!$B$23,0),'Tax Tables'!$B$25)*'Tax Tables'!$B$26))*Calculator!$B$11,Calculator!$B$12)</f>
        <v>48581.75</v>
      </c>
      <c r="Y33" s="11" t="n">
        <f aca="false">MAX(W33,0)-X33</f>
        <v>339693.25</v>
      </c>
      <c r="Z33" s="11" t="n">
        <f aca="false">MIN(IF(P33&gt;0,Calculator!$B$13,0)+T33+Calculator!$B$14,'Tax Tables'!$B$36)</f>
        <v>3000</v>
      </c>
      <c r="AA33" s="11" t="n">
        <f aca="false">MAX(P33-Z33,0)</f>
        <v>7000</v>
      </c>
      <c r="AB33" s="11" t="n">
        <f aca="false">SUMPRODUCT((AA33&gt;'Tax Tables'!$A$5:$A$17)*(AA33-'Tax Tables'!$A$5:$A$17)*'Tax Tables'!$C$5:$C$17)</f>
        <v>0</v>
      </c>
      <c r="AC33" s="11" t="n">
        <f aca="false">IF(W33&lt;0,-1E+099,P33-T33-AB33+Y33+(T33+U33)*Calculator!$B$9)</f>
        <v>351393.25</v>
      </c>
    </row>
    <row r="34" customFormat="false" ht="15" hidden="false" customHeight="false" outlineLevel="0" collapsed="false">
      <c r="A34" s="11" t="n">
        <f aca="false">21*$B$3</f>
        <v>10500</v>
      </c>
      <c r="B34" s="11" t="n">
        <f aca="false">0</f>
        <v>0</v>
      </c>
      <c r="C34" s="11" t="n">
        <f aca="false">A34-B34</f>
        <v>10500</v>
      </c>
      <c r="D34" s="11" t="n">
        <f aca="false">IF(Calculator!$B$6="Yes",MIN(B34,'Tax Tables'!$B$31*'Tax Tables'!$B$32),0)</f>
        <v>0</v>
      </c>
      <c r="E34" s="11" t="n">
        <f aca="false">D34*Calculator!$B$7</f>
        <v>0</v>
      </c>
      <c r="F34" s="11" t="n">
        <f aca="false">D34*Calculator!$B$8</f>
        <v>0</v>
      </c>
      <c r="G34" s="11" t="n">
        <f aca="false">IF(B34&gt;0,'Tax Tables'!$B$32*MIN(MAX(B34/'Tax Tables'!$B$32*'Tax Tables'!$B$33,'Tax Tables'!$B$34),'Tax Tables'!$B$35),0)</f>
        <v>0</v>
      </c>
      <c r="H34" s="11" t="n">
        <f aca="false">Calculator!$B$5-A34-F34-G34</f>
        <v>389500</v>
      </c>
      <c r="I34" s="11" t="n">
        <f aca="false">'Tax Tables'!$B$22*(MAX(H34,0)-IF(Calculator!$B$10="Yes",MIN(MAX(H34,0),'Tax Tables'!$B$27)*'Tax Tables'!$B$28+MIN(MAX(MAX(H34,0)-'Tax Tables'!$B$27,0),'Tax Tables'!$B$29)*'Tax Tables'!$B$30,MIN(MAX(H34,0),'Tax Tables'!$B$23)*'Tax Tables'!$B$24+MIN(MAX(MAX(H34,0)-'Tax Tables'!$B$23,0),'Tax Tables'!$B$25)*'Tax Tables'!$B$26))*1-MIN('Tax Tables'!$B$22*(MAX(H34,0)-IF(Calculator!$B$10="Yes",MIN(MAX(H34,0),'Tax Tables'!$B$27)*'Tax Tables'!$B$28+MIN(MAX(MAX(H34,0)-'Tax Tables'!$B$27,0),'Tax Tables'!$B$29)*'Tax Tables'!$B$30,MIN(MAX(H34,0),'Tax Tables'!$B$23)*'Tax Tables'!$B$24+MIN(MAX(MAX(H34,0)-'Tax Tables'!$B$23,0),'Tax Tables'!$B$25)*'Tax Tables'!$B$26))*Calculator!$B$11,Calculator!$B$12)</f>
        <v>48790</v>
      </c>
      <c r="J34" s="11" t="n">
        <f aca="false">MAX(H34,0)-I34</f>
        <v>340710</v>
      </c>
      <c r="K34" s="11" t="n">
        <f aca="false">MIN(IF(A34&gt;0,Calculator!$B$13,0)+E34+Calculator!$B$14,'Tax Tables'!$B$36)</f>
        <v>1000</v>
      </c>
      <c r="L34" s="11" t="n">
        <f aca="false">MAX(A34-K34,0)</f>
        <v>9500</v>
      </c>
      <c r="M34" s="11" t="n">
        <f aca="false">SUMPRODUCT((L34&gt;'Tax Tables'!$A$5:$A$17)*(L34-'Tax Tables'!$A$5:$A$17)*'Tax Tables'!$C$5:$C$17)</f>
        <v>0</v>
      </c>
      <c r="N34" s="11" t="n">
        <f aca="false">IF(H34&lt;0,-1E+099,A34-E34-M34+J34+(E34+F34)*Calculator!$B$9)</f>
        <v>351210</v>
      </c>
      <c r="O34" s="2"/>
      <c r="P34" s="11" t="n">
        <f aca="false">21*$B$3</f>
        <v>10500</v>
      </c>
      <c r="Q34" s="11" t="n">
        <f aca="false">MIN(P34,'Tax Tables'!$B$31*'Tax Tables'!$B$32)</f>
        <v>10500</v>
      </c>
      <c r="R34" s="11" t="n">
        <f aca="false">P34-Q34</f>
        <v>0</v>
      </c>
      <c r="S34" s="11" t="n">
        <f aca="false">IF(Calculator!$B$6="Yes",MIN(Q34,'Tax Tables'!$B$31*'Tax Tables'!$B$32),0)</f>
        <v>10500</v>
      </c>
      <c r="T34" s="11" t="n">
        <f aca="false">S34*Calculator!$B$7</f>
        <v>2100</v>
      </c>
      <c r="U34" s="11" t="n">
        <f aca="false">S34*Calculator!$B$8</f>
        <v>1785</v>
      </c>
      <c r="V34" s="11" t="n">
        <f aca="false">IF(Q34&gt;0,'Tax Tables'!$B$32*MIN(MAX(Q34/'Tax Tables'!$B$32*'Tax Tables'!$B$33,'Tax Tables'!$B$34),'Tax Tables'!$B$35),0)</f>
        <v>26.25</v>
      </c>
      <c r="W34" s="11" t="n">
        <f aca="false">Calculator!$B$5-P34-U34-V34</f>
        <v>387688.75</v>
      </c>
      <c r="X34" s="11" t="n">
        <f aca="false">'Tax Tables'!$B$22*(MAX(W34,0)-IF(Calculator!$B$10="Yes",MIN(MAX(W34,0),'Tax Tables'!$B$27)*'Tax Tables'!$B$28+MIN(MAX(MAX(W34,0)-'Tax Tables'!$B$27,0),'Tax Tables'!$B$29)*'Tax Tables'!$B$30,MIN(MAX(W34,0),'Tax Tables'!$B$23)*'Tax Tables'!$B$24+MIN(MAX(MAX(W34,0)-'Tax Tables'!$B$23,0),'Tax Tables'!$B$25)*'Tax Tables'!$B$26))*1-MIN('Tax Tables'!$B$22*(MAX(W34,0)-IF(Calculator!$B$10="Yes",MIN(MAX(W34,0),'Tax Tables'!$B$27)*'Tax Tables'!$B$28+MIN(MAX(MAX(W34,0)-'Tax Tables'!$B$27,0),'Tax Tables'!$B$29)*'Tax Tables'!$B$30,MIN(MAX(W34,0),'Tax Tables'!$B$23)*'Tax Tables'!$B$24+MIN(MAX(MAX(W34,0)-'Tax Tables'!$B$23,0),'Tax Tables'!$B$25)*'Tax Tables'!$B$26))*Calculator!$B$11,Calculator!$B$12)</f>
        <v>48482.0875</v>
      </c>
      <c r="Y34" s="11" t="n">
        <f aca="false">MAX(W34,0)-X34</f>
        <v>339206.6625</v>
      </c>
      <c r="Z34" s="11" t="n">
        <f aca="false">MIN(IF(P34&gt;0,Calculator!$B$13,0)+T34+Calculator!$B$14,'Tax Tables'!$B$36)</f>
        <v>3100</v>
      </c>
      <c r="AA34" s="11" t="n">
        <f aca="false">MAX(P34-Z34,0)</f>
        <v>7400</v>
      </c>
      <c r="AB34" s="11" t="n">
        <f aca="false">SUMPRODUCT((AA34&gt;'Tax Tables'!$A$5:$A$17)*(AA34-'Tax Tables'!$A$5:$A$17)*'Tax Tables'!$C$5:$C$17)</f>
        <v>0</v>
      </c>
      <c r="AC34" s="11" t="n">
        <f aca="false">IF(W34&lt;0,-1E+099,P34-T34-AB34+Y34+(T34+U34)*Calculator!$B$9)</f>
        <v>351491.6625</v>
      </c>
    </row>
    <row r="35" customFormat="false" ht="15" hidden="false" customHeight="false" outlineLevel="0" collapsed="false">
      <c r="A35" s="11" t="n">
        <f aca="false">22*$B$3</f>
        <v>11000</v>
      </c>
      <c r="B35" s="11" t="n">
        <f aca="false">0</f>
        <v>0</v>
      </c>
      <c r="C35" s="11" t="n">
        <f aca="false">A35-B35</f>
        <v>11000</v>
      </c>
      <c r="D35" s="11" t="n">
        <f aca="false">IF(Calculator!$B$6="Yes",MIN(B35,'Tax Tables'!$B$31*'Tax Tables'!$B$32),0)</f>
        <v>0</v>
      </c>
      <c r="E35" s="11" t="n">
        <f aca="false">D35*Calculator!$B$7</f>
        <v>0</v>
      </c>
      <c r="F35" s="11" t="n">
        <f aca="false">D35*Calculator!$B$8</f>
        <v>0</v>
      </c>
      <c r="G35" s="11" t="n">
        <f aca="false">IF(B35&gt;0,'Tax Tables'!$B$32*MIN(MAX(B35/'Tax Tables'!$B$32*'Tax Tables'!$B$33,'Tax Tables'!$B$34),'Tax Tables'!$B$35),0)</f>
        <v>0</v>
      </c>
      <c r="H35" s="11" t="n">
        <f aca="false">Calculator!$B$5-A35-F35-G35</f>
        <v>389000</v>
      </c>
      <c r="I35" s="11" t="n">
        <f aca="false">'Tax Tables'!$B$22*(MAX(H35,0)-IF(Calculator!$B$10="Yes",MIN(MAX(H35,0),'Tax Tables'!$B$27)*'Tax Tables'!$B$28+MIN(MAX(MAX(H35,0)-'Tax Tables'!$B$27,0),'Tax Tables'!$B$29)*'Tax Tables'!$B$30,MIN(MAX(H35,0),'Tax Tables'!$B$23)*'Tax Tables'!$B$24+MIN(MAX(MAX(H35,0)-'Tax Tables'!$B$23,0),'Tax Tables'!$B$25)*'Tax Tables'!$B$26))*1-MIN('Tax Tables'!$B$22*(MAX(H35,0)-IF(Calculator!$B$10="Yes",MIN(MAX(H35,0),'Tax Tables'!$B$27)*'Tax Tables'!$B$28+MIN(MAX(MAX(H35,0)-'Tax Tables'!$B$27,0),'Tax Tables'!$B$29)*'Tax Tables'!$B$30,MIN(MAX(H35,0),'Tax Tables'!$B$23)*'Tax Tables'!$B$24+MIN(MAX(MAX(H35,0)-'Tax Tables'!$B$23,0),'Tax Tables'!$B$25)*'Tax Tables'!$B$26))*Calculator!$B$11,Calculator!$B$12)</f>
        <v>48705</v>
      </c>
      <c r="J35" s="11" t="n">
        <f aca="false">MAX(H35,0)-I35</f>
        <v>340295</v>
      </c>
      <c r="K35" s="11" t="n">
        <f aca="false">MIN(IF(A35&gt;0,Calculator!$B$13,0)+E35+Calculator!$B$14,'Tax Tables'!$B$36)</f>
        <v>1000</v>
      </c>
      <c r="L35" s="11" t="n">
        <f aca="false">MAX(A35-K35,0)</f>
        <v>10000</v>
      </c>
      <c r="M35" s="11" t="n">
        <f aca="false">SUMPRODUCT((L35&gt;'Tax Tables'!$A$5:$A$17)*(L35-'Tax Tables'!$A$5:$A$17)*'Tax Tables'!$C$5:$C$17)</f>
        <v>0</v>
      </c>
      <c r="N35" s="11" t="n">
        <f aca="false">IF(H35&lt;0,-1E+099,A35-E35-M35+J35+(E35+F35)*Calculator!$B$9)</f>
        <v>351295</v>
      </c>
      <c r="O35" s="2"/>
      <c r="P35" s="11" t="n">
        <f aca="false">22*$B$3</f>
        <v>11000</v>
      </c>
      <c r="Q35" s="11" t="n">
        <f aca="false">MIN(P35,'Tax Tables'!$B$31*'Tax Tables'!$B$32)</f>
        <v>11000</v>
      </c>
      <c r="R35" s="11" t="n">
        <f aca="false">P35-Q35</f>
        <v>0</v>
      </c>
      <c r="S35" s="11" t="n">
        <f aca="false">IF(Calculator!$B$6="Yes",MIN(Q35,'Tax Tables'!$B$31*'Tax Tables'!$B$32),0)</f>
        <v>11000</v>
      </c>
      <c r="T35" s="11" t="n">
        <f aca="false">S35*Calculator!$B$7</f>
        <v>2200</v>
      </c>
      <c r="U35" s="11" t="n">
        <f aca="false">S35*Calculator!$B$8</f>
        <v>1870</v>
      </c>
      <c r="V35" s="11" t="n">
        <f aca="false">IF(Q35&gt;0,'Tax Tables'!$B$32*MIN(MAX(Q35/'Tax Tables'!$B$32*'Tax Tables'!$B$33,'Tax Tables'!$B$34),'Tax Tables'!$B$35),0)</f>
        <v>27.5</v>
      </c>
      <c r="W35" s="11" t="n">
        <f aca="false">Calculator!$B$5-P35-U35-V35</f>
        <v>387102.5</v>
      </c>
      <c r="X35" s="11" t="n">
        <f aca="false">'Tax Tables'!$B$22*(MAX(W35,0)-IF(Calculator!$B$10="Yes",MIN(MAX(W35,0),'Tax Tables'!$B$27)*'Tax Tables'!$B$28+MIN(MAX(MAX(W35,0)-'Tax Tables'!$B$27,0),'Tax Tables'!$B$29)*'Tax Tables'!$B$30,MIN(MAX(W35,0),'Tax Tables'!$B$23)*'Tax Tables'!$B$24+MIN(MAX(MAX(W35,0)-'Tax Tables'!$B$23,0),'Tax Tables'!$B$25)*'Tax Tables'!$B$26))*1-MIN('Tax Tables'!$B$22*(MAX(W35,0)-IF(Calculator!$B$10="Yes",MIN(MAX(W35,0),'Tax Tables'!$B$27)*'Tax Tables'!$B$28+MIN(MAX(MAX(W35,0)-'Tax Tables'!$B$27,0),'Tax Tables'!$B$29)*'Tax Tables'!$B$30,MIN(MAX(W35,0),'Tax Tables'!$B$23)*'Tax Tables'!$B$24+MIN(MAX(MAX(W35,0)-'Tax Tables'!$B$23,0),'Tax Tables'!$B$25)*'Tax Tables'!$B$26))*Calculator!$B$11,Calculator!$B$12)</f>
        <v>48382.425</v>
      </c>
      <c r="Y35" s="11" t="n">
        <f aca="false">MAX(W35,0)-X35</f>
        <v>338720.075</v>
      </c>
      <c r="Z35" s="11" t="n">
        <f aca="false">MIN(IF(P35&gt;0,Calculator!$B$13,0)+T35+Calculator!$B$14,'Tax Tables'!$B$36)</f>
        <v>3200</v>
      </c>
      <c r="AA35" s="11" t="n">
        <f aca="false">MAX(P35-Z35,0)</f>
        <v>7800</v>
      </c>
      <c r="AB35" s="11" t="n">
        <f aca="false">SUMPRODUCT((AA35&gt;'Tax Tables'!$A$5:$A$17)*(AA35-'Tax Tables'!$A$5:$A$17)*'Tax Tables'!$C$5:$C$17)</f>
        <v>0</v>
      </c>
      <c r="AC35" s="11" t="n">
        <f aca="false">IF(W35&lt;0,-1E+099,P35-T35-AB35+Y35+(T35+U35)*Calculator!$B$9)</f>
        <v>351590.075</v>
      </c>
    </row>
    <row r="36" customFormat="false" ht="15" hidden="false" customHeight="false" outlineLevel="0" collapsed="false">
      <c r="A36" s="11" t="n">
        <f aca="false">23*$B$3</f>
        <v>11500</v>
      </c>
      <c r="B36" s="11" t="n">
        <f aca="false">0</f>
        <v>0</v>
      </c>
      <c r="C36" s="11" t="n">
        <f aca="false">A36-B36</f>
        <v>11500</v>
      </c>
      <c r="D36" s="11" t="n">
        <f aca="false">IF(Calculator!$B$6="Yes",MIN(B36,'Tax Tables'!$B$31*'Tax Tables'!$B$32),0)</f>
        <v>0</v>
      </c>
      <c r="E36" s="11" t="n">
        <f aca="false">D36*Calculator!$B$7</f>
        <v>0</v>
      </c>
      <c r="F36" s="11" t="n">
        <f aca="false">D36*Calculator!$B$8</f>
        <v>0</v>
      </c>
      <c r="G36" s="11" t="n">
        <f aca="false">IF(B36&gt;0,'Tax Tables'!$B$32*MIN(MAX(B36/'Tax Tables'!$B$32*'Tax Tables'!$B$33,'Tax Tables'!$B$34),'Tax Tables'!$B$35),0)</f>
        <v>0</v>
      </c>
      <c r="H36" s="11" t="n">
        <f aca="false">Calculator!$B$5-A36-F36-G36</f>
        <v>388500</v>
      </c>
      <c r="I36" s="11" t="n">
        <f aca="false">'Tax Tables'!$B$22*(MAX(H36,0)-IF(Calculator!$B$10="Yes",MIN(MAX(H36,0),'Tax Tables'!$B$27)*'Tax Tables'!$B$28+MIN(MAX(MAX(H36,0)-'Tax Tables'!$B$27,0),'Tax Tables'!$B$29)*'Tax Tables'!$B$30,MIN(MAX(H36,0),'Tax Tables'!$B$23)*'Tax Tables'!$B$24+MIN(MAX(MAX(H36,0)-'Tax Tables'!$B$23,0),'Tax Tables'!$B$25)*'Tax Tables'!$B$26))*1-MIN('Tax Tables'!$B$22*(MAX(H36,0)-IF(Calculator!$B$10="Yes",MIN(MAX(H36,0),'Tax Tables'!$B$27)*'Tax Tables'!$B$28+MIN(MAX(MAX(H36,0)-'Tax Tables'!$B$27,0),'Tax Tables'!$B$29)*'Tax Tables'!$B$30,MIN(MAX(H36,0),'Tax Tables'!$B$23)*'Tax Tables'!$B$24+MIN(MAX(MAX(H36,0)-'Tax Tables'!$B$23,0),'Tax Tables'!$B$25)*'Tax Tables'!$B$26))*Calculator!$B$11,Calculator!$B$12)</f>
        <v>48620</v>
      </c>
      <c r="J36" s="11" t="n">
        <f aca="false">MAX(H36,0)-I36</f>
        <v>339880</v>
      </c>
      <c r="K36" s="11" t="n">
        <f aca="false">MIN(IF(A36&gt;0,Calculator!$B$13,0)+E36+Calculator!$B$14,'Tax Tables'!$B$36)</f>
        <v>1000</v>
      </c>
      <c r="L36" s="11" t="n">
        <f aca="false">MAX(A36-K36,0)</f>
        <v>10500</v>
      </c>
      <c r="M36" s="11" t="n">
        <f aca="false">SUMPRODUCT((L36&gt;'Tax Tables'!$A$5:$A$17)*(L36-'Tax Tables'!$A$5:$A$17)*'Tax Tables'!$C$5:$C$17)</f>
        <v>0</v>
      </c>
      <c r="N36" s="11" t="n">
        <f aca="false">IF(H36&lt;0,-1E+099,A36-E36-M36+J36+(E36+F36)*Calculator!$B$9)</f>
        <v>351380</v>
      </c>
      <c r="O36" s="2"/>
      <c r="P36" s="11" t="n">
        <f aca="false">23*$B$3</f>
        <v>11500</v>
      </c>
      <c r="Q36" s="11" t="n">
        <f aca="false">MIN(P36,'Tax Tables'!$B$31*'Tax Tables'!$B$32)</f>
        <v>11500</v>
      </c>
      <c r="R36" s="11" t="n">
        <f aca="false">P36-Q36</f>
        <v>0</v>
      </c>
      <c r="S36" s="11" t="n">
        <f aca="false">IF(Calculator!$B$6="Yes",MIN(Q36,'Tax Tables'!$B$31*'Tax Tables'!$B$32),0)</f>
        <v>11500</v>
      </c>
      <c r="T36" s="11" t="n">
        <f aca="false">S36*Calculator!$B$7</f>
        <v>2300</v>
      </c>
      <c r="U36" s="11" t="n">
        <f aca="false">S36*Calculator!$B$8</f>
        <v>1955</v>
      </c>
      <c r="V36" s="11" t="n">
        <f aca="false">IF(Q36&gt;0,'Tax Tables'!$B$32*MIN(MAX(Q36/'Tax Tables'!$B$32*'Tax Tables'!$B$33,'Tax Tables'!$B$34),'Tax Tables'!$B$35),0)</f>
        <v>28.75</v>
      </c>
      <c r="W36" s="11" t="n">
        <f aca="false">Calculator!$B$5-P36-U36-V36</f>
        <v>386516.25</v>
      </c>
      <c r="X36" s="11" t="n">
        <f aca="false">'Tax Tables'!$B$22*(MAX(W36,0)-IF(Calculator!$B$10="Yes",MIN(MAX(W36,0),'Tax Tables'!$B$27)*'Tax Tables'!$B$28+MIN(MAX(MAX(W36,0)-'Tax Tables'!$B$27,0),'Tax Tables'!$B$29)*'Tax Tables'!$B$30,MIN(MAX(W36,0),'Tax Tables'!$B$23)*'Tax Tables'!$B$24+MIN(MAX(MAX(W36,0)-'Tax Tables'!$B$23,0),'Tax Tables'!$B$25)*'Tax Tables'!$B$26))*1-MIN('Tax Tables'!$B$22*(MAX(W36,0)-IF(Calculator!$B$10="Yes",MIN(MAX(W36,0),'Tax Tables'!$B$27)*'Tax Tables'!$B$28+MIN(MAX(MAX(W36,0)-'Tax Tables'!$B$27,0),'Tax Tables'!$B$29)*'Tax Tables'!$B$30,MIN(MAX(W36,0),'Tax Tables'!$B$23)*'Tax Tables'!$B$24+MIN(MAX(MAX(W36,0)-'Tax Tables'!$B$23,0),'Tax Tables'!$B$25)*'Tax Tables'!$B$26))*Calculator!$B$11,Calculator!$B$12)</f>
        <v>48282.7625</v>
      </c>
      <c r="Y36" s="11" t="n">
        <f aca="false">MAX(W36,0)-X36</f>
        <v>338233.4875</v>
      </c>
      <c r="Z36" s="11" t="n">
        <f aca="false">MIN(IF(P36&gt;0,Calculator!$B$13,0)+T36+Calculator!$B$14,'Tax Tables'!$B$36)</f>
        <v>3300</v>
      </c>
      <c r="AA36" s="11" t="n">
        <f aca="false">MAX(P36-Z36,0)</f>
        <v>8200</v>
      </c>
      <c r="AB36" s="11" t="n">
        <f aca="false">SUMPRODUCT((AA36&gt;'Tax Tables'!$A$5:$A$17)*(AA36-'Tax Tables'!$A$5:$A$17)*'Tax Tables'!$C$5:$C$17)</f>
        <v>0</v>
      </c>
      <c r="AC36" s="11" t="n">
        <f aca="false">IF(W36&lt;0,-1E+099,P36-T36-AB36+Y36+(T36+U36)*Calculator!$B$9)</f>
        <v>351688.4875</v>
      </c>
    </row>
    <row r="37" customFormat="false" ht="15" hidden="false" customHeight="false" outlineLevel="0" collapsed="false">
      <c r="A37" s="11" t="n">
        <f aca="false">24*$B$3</f>
        <v>12000</v>
      </c>
      <c r="B37" s="11" t="n">
        <f aca="false">0</f>
        <v>0</v>
      </c>
      <c r="C37" s="11" t="n">
        <f aca="false">A37-B37</f>
        <v>12000</v>
      </c>
      <c r="D37" s="11" t="n">
        <f aca="false">IF(Calculator!$B$6="Yes",MIN(B37,'Tax Tables'!$B$31*'Tax Tables'!$B$32),0)</f>
        <v>0</v>
      </c>
      <c r="E37" s="11" t="n">
        <f aca="false">D37*Calculator!$B$7</f>
        <v>0</v>
      </c>
      <c r="F37" s="11" t="n">
        <f aca="false">D37*Calculator!$B$8</f>
        <v>0</v>
      </c>
      <c r="G37" s="11" t="n">
        <f aca="false">IF(B37&gt;0,'Tax Tables'!$B$32*MIN(MAX(B37/'Tax Tables'!$B$32*'Tax Tables'!$B$33,'Tax Tables'!$B$34),'Tax Tables'!$B$35),0)</f>
        <v>0</v>
      </c>
      <c r="H37" s="11" t="n">
        <f aca="false">Calculator!$B$5-A37-F37-G37</f>
        <v>388000</v>
      </c>
      <c r="I37" s="11" t="n">
        <f aca="false">'Tax Tables'!$B$22*(MAX(H37,0)-IF(Calculator!$B$10="Yes",MIN(MAX(H37,0),'Tax Tables'!$B$27)*'Tax Tables'!$B$28+MIN(MAX(MAX(H37,0)-'Tax Tables'!$B$27,0),'Tax Tables'!$B$29)*'Tax Tables'!$B$30,MIN(MAX(H37,0),'Tax Tables'!$B$23)*'Tax Tables'!$B$24+MIN(MAX(MAX(H37,0)-'Tax Tables'!$B$23,0),'Tax Tables'!$B$25)*'Tax Tables'!$B$26))*1-MIN('Tax Tables'!$B$22*(MAX(H37,0)-IF(Calculator!$B$10="Yes",MIN(MAX(H37,0),'Tax Tables'!$B$27)*'Tax Tables'!$B$28+MIN(MAX(MAX(H37,0)-'Tax Tables'!$B$27,0),'Tax Tables'!$B$29)*'Tax Tables'!$B$30,MIN(MAX(H37,0),'Tax Tables'!$B$23)*'Tax Tables'!$B$24+MIN(MAX(MAX(H37,0)-'Tax Tables'!$B$23,0),'Tax Tables'!$B$25)*'Tax Tables'!$B$26))*Calculator!$B$11,Calculator!$B$12)</f>
        <v>48535</v>
      </c>
      <c r="J37" s="11" t="n">
        <f aca="false">MAX(H37,0)-I37</f>
        <v>339465</v>
      </c>
      <c r="K37" s="11" t="n">
        <f aca="false">MIN(IF(A37&gt;0,Calculator!$B$13,0)+E37+Calculator!$B$14,'Tax Tables'!$B$36)</f>
        <v>1000</v>
      </c>
      <c r="L37" s="11" t="n">
        <f aca="false">MAX(A37-K37,0)</f>
        <v>11000</v>
      </c>
      <c r="M37" s="11" t="n">
        <f aca="false">SUMPRODUCT((L37&gt;'Tax Tables'!$A$5:$A$17)*(L37-'Tax Tables'!$A$5:$A$17)*'Tax Tables'!$C$5:$C$17)</f>
        <v>0</v>
      </c>
      <c r="N37" s="11" t="n">
        <f aca="false">IF(H37&lt;0,-1E+099,A37-E37-M37+J37+(E37+F37)*Calculator!$B$9)</f>
        <v>351465</v>
      </c>
      <c r="O37" s="2"/>
      <c r="P37" s="11" t="n">
        <f aca="false">24*$B$3</f>
        <v>12000</v>
      </c>
      <c r="Q37" s="11" t="n">
        <f aca="false">MIN(P37,'Tax Tables'!$B$31*'Tax Tables'!$B$32)</f>
        <v>12000</v>
      </c>
      <c r="R37" s="11" t="n">
        <f aca="false">P37-Q37</f>
        <v>0</v>
      </c>
      <c r="S37" s="11" t="n">
        <f aca="false">IF(Calculator!$B$6="Yes",MIN(Q37,'Tax Tables'!$B$31*'Tax Tables'!$B$32),0)</f>
        <v>12000</v>
      </c>
      <c r="T37" s="11" t="n">
        <f aca="false">S37*Calculator!$B$7</f>
        <v>2400</v>
      </c>
      <c r="U37" s="11" t="n">
        <f aca="false">S37*Calculator!$B$8</f>
        <v>2040</v>
      </c>
      <c r="V37" s="11" t="n">
        <f aca="false">IF(Q37&gt;0,'Tax Tables'!$B$32*MIN(MAX(Q37/'Tax Tables'!$B$32*'Tax Tables'!$B$33,'Tax Tables'!$B$34),'Tax Tables'!$B$35),0)</f>
        <v>30</v>
      </c>
      <c r="W37" s="11" t="n">
        <f aca="false">Calculator!$B$5-P37-U37-V37</f>
        <v>385930</v>
      </c>
      <c r="X37" s="11" t="n">
        <f aca="false">'Tax Tables'!$B$22*(MAX(W37,0)-IF(Calculator!$B$10="Yes",MIN(MAX(W37,0),'Tax Tables'!$B$27)*'Tax Tables'!$B$28+MIN(MAX(MAX(W37,0)-'Tax Tables'!$B$27,0),'Tax Tables'!$B$29)*'Tax Tables'!$B$30,MIN(MAX(W37,0),'Tax Tables'!$B$23)*'Tax Tables'!$B$24+MIN(MAX(MAX(W37,0)-'Tax Tables'!$B$23,0),'Tax Tables'!$B$25)*'Tax Tables'!$B$26))*1-MIN('Tax Tables'!$B$22*(MAX(W37,0)-IF(Calculator!$B$10="Yes",MIN(MAX(W37,0),'Tax Tables'!$B$27)*'Tax Tables'!$B$28+MIN(MAX(MAX(W37,0)-'Tax Tables'!$B$27,0),'Tax Tables'!$B$29)*'Tax Tables'!$B$30,MIN(MAX(W37,0),'Tax Tables'!$B$23)*'Tax Tables'!$B$24+MIN(MAX(MAX(W37,0)-'Tax Tables'!$B$23,0),'Tax Tables'!$B$25)*'Tax Tables'!$B$26))*Calculator!$B$11,Calculator!$B$12)</f>
        <v>48183.1</v>
      </c>
      <c r="Y37" s="11" t="n">
        <f aca="false">MAX(W37,0)-X37</f>
        <v>337746.9</v>
      </c>
      <c r="Z37" s="11" t="n">
        <f aca="false">MIN(IF(P37&gt;0,Calculator!$B$13,0)+T37+Calculator!$B$14,'Tax Tables'!$B$36)</f>
        <v>3400</v>
      </c>
      <c r="AA37" s="11" t="n">
        <f aca="false">MAX(P37-Z37,0)</f>
        <v>8600</v>
      </c>
      <c r="AB37" s="11" t="n">
        <f aca="false">SUMPRODUCT((AA37&gt;'Tax Tables'!$A$5:$A$17)*(AA37-'Tax Tables'!$A$5:$A$17)*'Tax Tables'!$C$5:$C$17)</f>
        <v>0</v>
      </c>
      <c r="AC37" s="11" t="n">
        <f aca="false">IF(W37&lt;0,-1E+099,P37-T37-AB37+Y37+(T37+U37)*Calculator!$B$9)</f>
        <v>351786.9</v>
      </c>
    </row>
    <row r="38" customFormat="false" ht="15" hidden="false" customHeight="false" outlineLevel="0" collapsed="false">
      <c r="A38" s="11" t="n">
        <f aca="false">25*$B$3</f>
        <v>12500</v>
      </c>
      <c r="B38" s="11" t="n">
        <f aca="false">0</f>
        <v>0</v>
      </c>
      <c r="C38" s="11" t="n">
        <f aca="false">A38-B38</f>
        <v>12500</v>
      </c>
      <c r="D38" s="11" t="n">
        <f aca="false">IF(Calculator!$B$6="Yes",MIN(B38,'Tax Tables'!$B$31*'Tax Tables'!$B$32),0)</f>
        <v>0</v>
      </c>
      <c r="E38" s="11" t="n">
        <f aca="false">D38*Calculator!$B$7</f>
        <v>0</v>
      </c>
      <c r="F38" s="11" t="n">
        <f aca="false">D38*Calculator!$B$8</f>
        <v>0</v>
      </c>
      <c r="G38" s="11" t="n">
        <f aca="false">IF(B38&gt;0,'Tax Tables'!$B$32*MIN(MAX(B38/'Tax Tables'!$B$32*'Tax Tables'!$B$33,'Tax Tables'!$B$34),'Tax Tables'!$B$35),0)</f>
        <v>0</v>
      </c>
      <c r="H38" s="11" t="n">
        <f aca="false">Calculator!$B$5-A38-F38-G38</f>
        <v>387500</v>
      </c>
      <c r="I38" s="11" t="n">
        <f aca="false">'Tax Tables'!$B$22*(MAX(H38,0)-IF(Calculator!$B$10="Yes",MIN(MAX(H38,0),'Tax Tables'!$B$27)*'Tax Tables'!$B$28+MIN(MAX(MAX(H38,0)-'Tax Tables'!$B$27,0),'Tax Tables'!$B$29)*'Tax Tables'!$B$30,MIN(MAX(H38,0),'Tax Tables'!$B$23)*'Tax Tables'!$B$24+MIN(MAX(MAX(H38,0)-'Tax Tables'!$B$23,0),'Tax Tables'!$B$25)*'Tax Tables'!$B$26))*1-MIN('Tax Tables'!$B$22*(MAX(H38,0)-IF(Calculator!$B$10="Yes",MIN(MAX(H38,0),'Tax Tables'!$B$27)*'Tax Tables'!$B$28+MIN(MAX(MAX(H38,0)-'Tax Tables'!$B$27,0),'Tax Tables'!$B$29)*'Tax Tables'!$B$30,MIN(MAX(H38,0),'Tax Tables'!$B$23)*'Tax Tables'!$B$24+MIN(MAX(MAX(H38,0)-'Tax Tables'!$B$23,0),'Tax Tables'!$B$25)*'Tax Tables'!$B$26))*Calculator!$B$11,Calculator!$B$12)</f>
        <v>48450</v>
      </c>
      <c r="J38" s="11" t="n">
        <f aca="false">MAX(H38,0)-I38</f>
        <v>339050</v>
      </c>
      <c r="K38" s="11" t="n">
        <f aca="false">MIN(IF(A38&gt;0,Calculator!$B$13,0)+E38+Calculator!$B$14,'Tax Tables'!$B$36)</f>
        <v>1000</v>
      </c>
      <c r="L38" s="11" t="n">
        <f aca="false">MAX(A38-K38,0)</f>
        <v>11500</v>
      </c>
      <c r="M38" s="11" t="n">
        <f aca="false">SUMPRODUCT((L38&gt;'Tax Tables'!$A$5:$A$17)*(L38-'Tax Tables'!$A$5:$A$17)*'Tax Tables'!$C$5:$C$17)</f>
        <v>0</v>
      </c>
      <c r="N38" s="11" t="n">
        <f aca="false">IF(H38&lt;0,-1E+099,A38-E38-M38+J38+(E38+F38)*Calculator!$B$9)</f>
        <v>351550</v>
      </c>
      <c r="O38" s="2"/>
      <c r="P38" s="11" t="n">
        <f aca="false">25*$B$3</f>
        <v>12500</v>
      </c>
      <c r="Q38" s="11" t="n">
        <f aca="false">MIN(P38,'Tax Tables'!$B$31*'Tax Tables'!$B$32)</f>
        <v>12500</v>
      </c>
      <c r="R38" s="11" t="n">
        <f aca="false">P38-Q38</f>
        <v>0</v>
      </c>
      <c r="S38" s="11" t="n">
        <f aca="false">IF(Calculator!$B$6="Yes",MIN(Q38,'Tax Tables'!$B$31*'Tax Tables'!$B$32),0)</f>
        <v>12500</v>
      </c>
      <c r="T38" s="11" t="n">
        <f aca="false">S38*Calculator!$B$7</f>
        <v>2500</v>
      </c>
      <c r="U38" s="11" t="n">
        <f aca="false">S38*Calculator!$B$8</f>
        <v>2125</v>
      </c>
      <c r="V38" s="11" t="n">
        <f aca="false">IF(Q38&gt;0,'Tax Tables'!$B$32*MIN(MAX(Q38/'Tax Tables'!$B$32*'Tax Tables'!$B$33,'Tax Tables'!$B$34),'Tax Tables'!$B$35),0)</f>
        <v>31.25</v>
      </c>
      <c r="W38" s="11" t="n">
        <f aca="false">Calculator!$B$5-P38-U38-V38</f>
        <v>385343.75</v>
      </c>
      <c r="X38" s="11" t="n">
        <f aca="false">'Tax Tables'!$B$22*(MAX(W38,0)-IF(Calculator!$B$10="Yes",MIN(MAX(W38,0),'Tax Tables'!$B$27)*'Tax Tables'!$B$28+MIN(MAX(MAX(W38,0)-'Tax Tables'!$B$27,0),'Tax Tables'!$B$29)*'Tax Tables'!$B$30,MIN(MAX(W38,0),'Tax Tables'!$B$23)*'Tax Tables'!$B$24+MIN(MAX(MAX(W38,0)-'Tax Tables'!$B$23,0),'Tax Tables'!$B$25)*'Tax Tables'!$B$26))*1-MIN('Tax Tables'!$B$22*(MAX(W38,0)-IF(Calculator!$B$10="Yes",MIN(MAX(W38,0),'Tax Tables'!$B$27)*'Tax Tables'!$B$28+MIN(MAX(MAX(W38,0)-'Tax Tables'!$B$27,0),'Tax Tables'!$B$29)*'Tax Tables'!$B$30,MIN(MAX(W38,0),'Tax Tables'!$B$23)*'Tax Tables'!$B$24+MIN(MAX(MAX(W38,0)-'Tax Tables'!$B$23,0),'Tax Tables'!$B$25)*'Tax Tables'!$B$26))*Calculator!$B$11,Calculator!$B$12)</f>
        <v>48083.4375</v>
      </c>
      <c r="Y38" s="11" t="n">
        <f aca="false">MAX(W38,0)-X38</f>
        <v>337260.3125</v>
      </c>
      <c r="Z38" s="11" t="n">
        <f aca="false">MIN(IF(P38&gt;0,Calculator!$B$13,0)+T38+Calculator!$B$14,'Tax Tables'!$B$36)</f>
        <v>3500</v>
      </c>
      <c r="AA38" s="11" t="n">
        <f aca="false">MAX(P38-Z38,0)</f>
        <v>9000</v>
      </c>
      <c r="AB38" s="11" t="n">
        <f aca="false">SUMPRODUCT((AA38&gt;'Tax Tables'!$A$5:$A$17)*(AA38-'Tax Tables'!$A$5:$A$17)*'Tax Tables'!$C$5:$C$17)</f>
        <v>0</v>
      </c>
      <c r="AC38" s="11" t="n">
        <f aca="false">IF(W38&lt;0,-1E+099,P38-T38-AB38+Y38+(T38+U38)*Calculator!$B$9)</f>
        <v>351885.3125</v>
      </c>
    </row>
    <row r="39" customFormat="false" ht="15" hidden="false" customHeight="false" outlineLevel="0" collapsed="false">
      <c r="A39" s="11" t="n">
        <f aca="false">26*$B$3</f>
        <v>13000</v>
      </c>
      <c r="B39" s="11" t="n">
        <f aca="false">0</f>
        <v>0</v>
      </c>
      <c r="C39" s="11" t="n">
        <f aca="false">A39-B39</f>
        <v>13000</v>
      </c>
      <c r="D39" s="11" t="n">
        <f aca="false">IF(Calculator!$B$6="Yes",MIN(B39,'Tax Tables'!$B$31*'Tax Tables'!$B$32),0)</f>
        <v>0</v>
      </c>
      <c r="E39" s="11" t="n">
        <f aca="false">D39*Calculator!$B$7</f>
        <v>0</v>
      </c>
      <c r="F39" s="11" t="n">
        <f aca="false">D39*Calculator!$B$8</f>
        <v>0</v>
      </c>
      <c r="G39" s="11" t="n">
        <f aca="false">IF(B39&gt;0,'Tax Tables'!$B$32*MIN(MAX(B39/'Tax Tables'!$B$32*'Tax Tables'!$B$33,'Tax Tables'!$B$34),'Tax Tables'!$B$35),0)</f>
        <v>0</v>
      </c>
      <c r="H39" s="11" t="n">
        <f aca="false">Calculator!$B$5-A39-F39-G39</f>
        <v>387000</v>
      </c>
      <c r="I39" s="11" t="n">
        <f aca="false">'Tax Tables'!$B$22*(MAX(H39,0)-IF(Calculator!$B$10="Yes",MIN(MAX(H39,0),'Tax Tables'!$B$27)*'Tax Tables'!$B$28+MIN(MAX(MAX(H39,0)-'Tax Tables'!$B$27,0),'Tax Tables'!$B$29)*'Tax Tables'!$B$30,MIN(MAX(H39,0),'Tax Tables'!$B$23)*'Tax Tables'!$B$24+MIN(MAX(MAX(H39,0)-'Tax Tables'!$B$23,0),'Tax Tables'!$B$25)*'Tax Tables'!$B$26))*1-MIN('Tax Tables'!$B$22*(MAX(H39,0)-IF(Calculator!$B$10="Yes",MIN(MAX(H39,0),'Tax Tables'!$B$27)*'Tax Tables'!$B$28+MIN(MAX(MAX(H39,0)-'Tax Tables'!$B$27,0),'Tax Tables'!$B$29)*'Tax Tables'!$B$30,MIN(MAX(H39,0),'Tax Tables'!$B$23)*'Tax Tables'!$B$24+MIN(MAX(MAX(H39,0)-'Tax Tables'!$B$23,0),'Tax Tables'!$B$25)*'Tax Tables'!$B$26))*Calculator!$B$11,Calculator!$B$12)</f>
        <v>48365</v>
      </c>
      <c r="J39" s="11" t="n">
        <f aca="false">MAX(H39,0)-I39</f>
        <v>338635</v>
      </c>
      <c r="K39" s="11" t="n">
        <f aca="false">MIN(IF(A39&gt;0,Calculator!$B$13,0)+E39+Calculator!$B$14,'Tax Tables'!$B$36)</f>
        <v>1000</v>
      </c>
      <c r="L39" s="11" t="n">
        <f aca="false">MAX(A39-K39,0)</f>
        <v>12000</v>
      </c>
      <c r="M39" s="11" t="n">
        <f aca="false">SUMPRODUCT((L39&gt;'Tax Tables'!$A$5:$A$17)*(L39-'Tax Tables'!$A$5:$A$17)*'Tax Tables'!$C$5:$C$17)</f>
        <v>0</v>
      </c>
      <c r="N39" s="11" t="n">
        <f aca="false">IF(H39&lt;0,-1E+099,A39-E39-M39+J39+(E39+F39)*Calculator!$B$9)</f>
        <v>351635</v>
      </c>
      <c r="O39" s="2"/>
      <c r="P39" s="11" t="n">
        <f aca="false">26*$B$3</f>
        <v>13000</v>
      </c>
      <c r="Q39" s="11" t="n">
        <f aca="false">MIN(P39,'Tax Tables'!$B$31*'Tax Tables'!$B$32)</f>
        <v>13000</v>
      </c>
      <c r="R39" s="11" t="n">
        <f aca="false">P39-Q39</f>
        <v>0</v>
      </c>
      <c r="S39" s="11" t="n">
        <f aca="false">IF(Calculator!$B$6="Yes",MIN(Q39,'Tax Tables'!$B$31*'Tax Tables'!$B$32),0)</f>
        <v>13000</v>
      </c>
      <c r="T39" s="11" t="n">
        <f aca="false">S39*Calculator!$B$7</f>
        <v>2600</v>
      </c>
      <c r="U39" s="11" t="n">
        <f aca="false">S39*Calculator!$B$8</f>
        <v>2210</v>
      </c>
      <c r="V39" s="11" t="n">
        <f aca="false">IF(Q39&gt;0,'Tax Tables'!$B$32*MIN(MAX(Q39/'Tax Tables'!$B$32*'Tax Tables'!$B$33,'Tax Tables'!$B$34),'Tax Tables'!$B$35),0)</f>
        <v>32.5</v>
      </c>
      <c r="W39" s="11" t="n">
        <f aca="false">Calculator!$B$5-P39-U39-V39</f>
        <v>384757.5</v>
      </c>
      <c r="X39" s="11" t="n">
        <f aca="false">'Tax Tables'!$B$22*(MAX(W39,0)-IF(Calculator!$B$10="Yes",MIN(MAX(W39,0),'Tax Tables'!$B$27)*'Tax Tables'!$B$28+MIN(MAX(MAX(W39,0)-'Tax Tables'!$B$27,0),'Tax Tables'!$B$29)*'Tax Tables'!$B$30,MIN(MAX(W39,0),'Tax Tables'!$B$23)*'Tax Tables'!$B$24+MIN(MAX(MAX(W39,0)-'Tax Tables'!$B$23,0),'Tax Tables'!$B$25)*'Tax Tables'!$B$26))*1-MIN('Tax Tables'!$B$22*(MAX(W39,0)-IF(Calculator!$B$10="Yes",MIN(MAX(W39,0),'Tax Tables'!$B$27)*'Tax Tables'!$B$28+MIN(MAX(MAX(W39,0)-'Tax Tables'!$B$27,0),'Tax Tables'!$B$29)*'Tax Tables'!$B$30,MIN(MAX(W39,0),'Tax Tables'!$B$23)*'Tax Tables'!$B$24+MIN(MAX(MAX(W39,0)-'Tax Tables'!$B$23,0),'Tax Tables'!$B$25)*'Tax Tables'!$B$26))*Calculator!$B$11,Calculator!$B$12)</f>
        <v>47983.775</v>
      </c>
      <c r="Y39" s="11" t="n">
        <f aca="false">MAX(W39,0)-X39</f>
        <v>336773.725</v>
      </c>
      <c r="Z39" s="11" t="n">
        <f aca="false">MIN(IF(P39&gt;0,Calculator!$B$13,0)+T39+Calculator!$B$14,'Tax Tables'!$B$36)</f>
        <v>3600</v>
      </c>
      <c r="AA39" s="11" t="n">
        <f aca="false">MAX(P39-Z39,0)</f>
        <v>9400</v>
      </c>
      <c r="AB39" s="11" t="n">
        <f aca="false">SUMPRODUCT((AA39&gt;'Tax Tables'!$A$5:$A$17)*(AA39-'Tax Tables'!$A$5:$A$17)*'Tax Tables'!$C$5:$C$17)</f>
        <v>0</v>
      </c>
      <c r="AC39" s="11" t="n">
        <f aca="false">IF(W39&lt;0,-1E+099,P39-T39-AB39+Y39+(T39+U39)*Calculator!$B$9)</f>
        <v>351983.725</v>
      </c>
    </row>
    <row r="40" customFormat="false" ht="15" hidden="false" customHeight="false" outlineLevel="0" collapsed="false">
      <c r="A40" s="11" t="n">
        <f aca="false">27*$B$3</f>
        <v>13500</v>
      </c>
      <c r="B40" s="11" t="n">
        <f aca="false">0</f>
        <v>0</v>
      </c>
      <c r="C40" s="11" t="n">
        <f aca="false">A40-B40</f>
        <v>13500</v>
      </c>
      <c r="D40" s="11" t="n">
        <f aca="false">IF(Calculator!$B$6="Yes",MIN(B40,'Tax Tables'!$B$31*'Tax Tables'!$B$32),0)</f>
        <v>0</v>
      </c>
      <c r="E40" s="11" t="n">
        <f aca="false">D40*Calculator!$B$7</f>
        <v>0</v>
      </c>
      <c r="F40" s="11" t="n">
        <f aca="false">D40*Calculator!$B$8</f>
        <v>0</v>
      </c>
      <c r="G40" s="11" t="n">
        <f aca="false">IF(B40&gt;0,'Tax Tables'!$B$32*MIN(MAX(B40/'Tax Tables'!$B$32*'Tax Tables'!$B$33,'Tax Tables'!$B$34),'Tax Tables'!$B$35),0)</f>
        <v>0</v>
      </c>
      <c r="H40" s="11" t="n">
        <f aca="false">Calculator!$B$5-A40-F40-G40</f>
        <v>386500</v>
      </c>
      <c r="I40" s="11" t="n">
        <f aca="false">'Tax Tables'!$B$22*(MAX(H40,0)-IF(Calculator!$B$10="Yes",MIN(MAX(H40,0),'Tax Tables'!$B$27)*'Tax Tables'!$B$28+MIN(MAX(MAX(H40,0)-'Tax Tables'!$B$27,0),'Tax Tables'!$B$29)*'Tax Tables'!$B$30,MIN(MAX(H40,0),'Tax Tables'!$B$23)*'Tax Tables'!$B$24+MIN(MAX(MAX(H40,0)-'Tax Tables'!$B$23,0),'Tax Tables'!$B$25)*'Tax Tables'!$B$26))*1-MIN('Tax Tables'!$B$22*(MAX(H40,0)-IF(Calculator!$B$10="Yes",MIN(MAX(H40,0),'Tax Tables'!$B$27)*'Tax Tables'!$B$28+MIN(MAX(MAX(H40,0)-'Tax Tables'!$B$27,0),'Tax Tables'!$B$29)*'Tax Tables'!$B$30,MIN(MAX(H40,0),'Tax Tables'!$B$23)*'Tax Tables'!$B$24+MIN(MAX(MAX(H40,0)-'Tax Tables'!$B$23,0),'Tax Tables'!$B$25)*'Tax Tables'!$B$26))*Calculator!$B$11,Calculator!$B$12)</f>
        <v>48280</v>
      </c>
      <c r="J40" s="11" t="n">
        <f aca="false">MAX(H40,0)-I40</f>
        <v>338220</v>
      </c>
      <c r="K40" s="11" t="n">
        <f aca="false">MIN(IF(A40&gt;0,Calculator!$B$13,0)+E40+Calculator!$B$14,'Tax Tables'!$B$36)</f>
        <v>1000</v>
      </c>
      <c r="L40" s="11" t="n">
        <f aca="false">MAX(A40-K40,0)</f>
        <v>12500</v>
      </c>
      <c r="M40" s="11" t="n">
        <f aca="false">SUMPRODUCT((L40&gt;'Tax Tables'!$A$5:$A$17)*(L40-'Tax Tables'!$A$5:$A$17)*'Tax Tables'!$C$5:$C$17)</f>
        <v>0</v>
      </c>
      <c r="N40" s="11" t="n">
        <f aca="false">IF(H40&lt;0,-1E+099,A40-E40-M40+J40+(E40+F40)*Calculator!$B$9)</f>
        <v>351720</v>
      </c>
      <c r="O40" s="2"/>
      <c r="P40" s="11" t="n">
        <f aca="false">27*$B$3</f>
        <v>13500</v>
      </c>
      <c r="Q40" s="11" t="n">
        <f aca="false">MIN(P40,'Tax Tables'!$B$31*'Tax Tables'!$B$32)</f>
        <v>13500</v>
      </c>
      <c r="R40" s="11" t="n">
        <f aca="false">P40-Q40</f>
        <v>0</v>
      </c>
      <c r="S40" s="11" t="n">
        <f aca="false">IF(Calculator!$B$6="Yes",MIN(Q40,'Tax Tables'!$B$31*'Tax Tables'!$B$32),0)</f>
        <v>13500</v>
      </c>
      <c r="T40" s="11" t="n">
        <f aca="false">S40*Calculator!$B$7</f>
        <v>2700</v>
      </c>
      <c r="U40" s="11" t="n">
        <f aca="false">S40*Calculator!$B$8</f>
        <v>2295</v>
      </c>
      <c r="V40" s="11" t="n">
        <f aca="false">IF(Q40&gt;0,'Tax Tables'!$B$32*MIN(MAX(Q40/'Tax Tables'!$B$32*'Tax Tables'!$B$33,'Tax Tables'!$B$34),'Tax Tables'!$B$35),0)</f>
        <v>33.75</v>
      </c>
      <c r="W40" s="11" t="n">
        <f aca="false">Calculator!$B$5-P40-U40-V40</f>
        <v>384171.25</v>
      </c>
      <c r="X40" s="11" t="n">
        <f aca="false">'Tax Tables'!$B$22*(MAX(W40,0)-IF(Calculator!$B$10="Yes",MIN(MAX(W40,0),'Tax Tables'!$B$27)*'Tax Tables'!$B$28+MIN(MAX(MAX(W40,0)-'Tax Tables'!$B$27,0),'Tax Tables'!$B$29)*'Tax Tables'!$B$30,MIN(MAX(W40,0),'Tax Tables'!$B$23)*'Tax Tables'!$B$24+MIN(MAX(MAX(W40,0)-'Tax Tables'!$B$23,0),'Tax Tables'!$B$25)*'Tax Tables'!$B$26))*1-MIN('Tax Tables'!$B$22*(MAX(W40,0)-IF(Calculator!$B$10="Yes",MIN(MAX(W40,0),'Tax Tables'!$B$27)*'Tax Tables'!$B$28+MIN(MAX(MAX(W40,0)-'Tax Tables'!$B$27,0),'Tax Tables'!$B$29)*'Tax Tables'!$B$30,MIN(MAX(W40,0),'Tax Tables'!$B$23)*'Tax Tables'!$B$24+MIN(MAX(MAX(W40,0)-'Tax Tables'!$B$23,0),'Tax Tables'!$B$25)*'Tax Tables'!$B$26))*Calculator!$B$11,Calculator!$B$12)</f>
        <v>47884.1125</v>
      </c>
      <c r="Y40" s="11" t="n">
        <f aca="false">MAX(W40,0)-X40</f>
        <v>336287.1375</v>
      </c>
      <c r="Z40" s="11" t="n">
        <f aca="false">MIN(IF(P40&gt;0,Calculator!$B$13,0)+T40+Calculator!$B$14,'Tax Tables'!$B$36)</f>
        <v>3700</v>
      </c>
      <c r="AA40" s="11" t="n">
        <f aca="false">MAX(P40-Z40,0)</f>
        <v>9800</v>
      </c>
      <c r="AB40" s="11" t="n">
        <f aca="false">SUMPRODUCT((AA40&gt;'Tax Tables'!$A$5:$A$17)*(AA40-'Tax Tables'!$A$5:$A$17)*'Tax Tables'!$C$5:$C$17)</f>
        <v>0</v>
      </c>
      <c r="AC40" s="11" t="n">
        <f aca="false">IF(W40&lt;0,-1E+099,P40-T40-AB40+Y40+(T40+U40)*Calculator!$B$9)</f>
        <v>352082.1375</v>
      </c>
    </row>
    <row r="41" customFormat="false" ht="15" hidden="false" customHeight="false" outlineLevel="0" collapsed="false">
      <c r="A41" s="11" t="n">
        <f aca="false">28*$B$3</f>
        <v>14000</v>
      </c>
      <c r="B41" s="11" t="n">
        <f aca="false">0</f>
        <v>0</v>
      </c>
      <c r="C41" s="11" t="n">
        <f aca="false">A41-B41</f>
        <v>14000</v>
      </c>
      <c r="D41" s="11" t="n">
        <f aca="false">IF(Calculator!$B$6="Yes",MIN(B41,'Tax Tables'!$B$31*'Tax Tables'!$B$32),0)</f>
        <v>0</v>
      </c>
      <c r="E41" s="11" t="n">
        <f aca="false">D41*Calculator!$B$7</f>
        <v>0</v>
      </c>
      <c r="F41" s="11" t="n">
        <f aca="false">D41*Calculator!$B$8</f>
        <v>0</v>
      </c>
      <c r="G41" s="11" t="n">
        <f aca="false">IF(B41&gt;0,'Tax Tables'!$B$32*MIN(MAX(B41/'Tax Tables'!$B$32*'Tax Tables'!$B$33,'Tax Tables'!$B$34),'Tax Tables'!$B$35),0)</f>
        <v>0</v>
      </c>
      <c r="H41" s="11" t="n">
        <f aca="false">Calculator!$B$5-A41-F41-G41</f>
        <v>386000</v>
      </c>
      <c r="I41" s="11" t="n">
        <f aca="false">'Tax Tables'!$B$22*(MAX(H41,0)-IF(Calculator!$B$10="Yes",MIN(MAX(H41,0),'Tax Tables'!$B$27)*'Tax Tables'!$B$28+MIN(MAX(MAX(H41,0)-'Tax Tables'!$B$27,0),'Tax Tables'!$B$29)*'Tax Tables'!$B$30,MIN(MAX(H41,0),'Tax Tables'!$B$23)*'Tax Tables'!$B$24+MIN(MAX(MAX(H41,0)-'Tax Tables'!$B$23,0),'Tax Tables'!$B$25)*'Tax Tables'!$B$26))*1-MIN('Tax Tables'!$B$22*(MAX(H41,0)-IF(Calculator!$B$10="Yes",MIN(MAX(H41,0),'Tax Tables'!$B$27)*'Tax Tables'!$B$28+MIN(MAX(MAX(H41,0)-'Tax Tables'!$B$27,0),'Tax Tables'!$B$29)*'Tax Tables'!$B$30,MIN(MAX(H41,0),'Tax Tables'!$B$23)*'Tax Tables'!$B$24+MIN(MAX(MAX(H41,0)-'Tax Tables'!$B$23,0),'Tax Tables'!$B$25)*'Tax Tables'!$B$26))*Calculator!$B$11,Calculator!$B$12)</f>
        <v>48195</v>
      </c>
      <c r="J41" s="11" t="n">
        <f aca="false">MAX(H41,0)-I41</f>
        <v>337805</v>
      </c>
      <c r="K41" s="11" t="n">
        <f aca="false">MIN(IF(A41&gt;0,Calculator!$B$13,0)+E41+Calculator!$B$14,'Tax Tables'!$B$36)</f>
        <v>1000</v>
      </c>
      <c r="L41" s="11" t="n">
        <f aca="false">MAX(A41-K41,0)</f>
        <v>13000</v>
      </c>
      <c r="M41" s="11" t="n">
        <f aca="false">SUMPRODUCT((L41&gt;'Tax Tables'!$A$5:$A$17)*(L41-'Tax Tables'!$A$5:$A$17)*'Tax Tables'!$C$5:$C$17)</f>
        <v>0</v>
      </c>
      <c r="N41" s="11" t="n">
        <f aca="false">IF(H41&lt;0,-1E+099,A41-E41-M41+J41+(E41+F41)*Calculator!$B$9)</f>
        <v>351805</v>
      </c>
      <c r="O41" s="2"/>
      <c r="P41" s="11" t="n">
        <f aca="false">28*$B$3</f>
        <v>14000</v>
      </c>
      <c r="Q41" s="11" t="n">
        <f aca="false">MIN(P41,'Tax Tables'!$B$31*'Tax Tables'!$B$32)</f>
        <v>14000</v>
      </c>
      <c r="R41" s="11" t="n">
        <f aca="false">P41-Q41</f>
        <v>0</v>
      </c>
      <c r="S41" s="11" t="n">
        <f aca="false">IF(Calculator!$B$6="Yes",MIN(Q41,'Tax Tables'!$B$31*'Tax Tables'!$B$32),0)</f>
        <v>14000</v>
      </c>
      <c r="T41" s="11" t="n">
        <f aca="false">S41*Calculator!$B$7</f>
        <v>2800</v>
      </c>
      <c r="U41" s="11" t="n">
        <f aca="false">S41*Calculator!$B$8</f>
        <v>2380</v>
      </c>
      <c r="V41" s="11" t="n">
        <f aca="false">IF(Q41&gt;0,'Tax Tables'!$B$32*MIN(MAX(Q41/'Tax Tables'!$B$32*'Tax Tables'!$B$33,'Tax Tables'!$B$34),'Tax Tables'!$B$35),0)</f>
        <v>35</v>
      </c>
      <c r="W41" s="11" t="n">
        <f aca="false">Calculator!$B$5-P41-U41-V41</f>
        <v>383585</v>
      </c>
      <c r="X41" s="11" t="n">
        <f aca="false">'Tax Tables'!$B$22*(MAX(W41,0)-IF(Calculator!$B$10="Yes",MIN(MAX(W41,0),'Tax Tables'!$B$27)*'Tax Tables'!$B$28+MIN(MAX(MAX(W41,0)-'Tax Tables'!$B$27,0),'Tax Tables'!$B$29)*'Tax Tables'!$B$30,MIN(MAX(W41,0),'Tax Tables'!$B$23)*'Tax Tables'!$B$24+MIN(MAX(MAX(W41,0)-'Tax Tables'!$B$23,0),'Tax Tables'!$B$25)*'Tax Tables'!$B$26))*1-MIN('Tax Tables'!$B$22*(MAX(W41,0)-IF(Calculator!$B$10="Yes",MIN(MAX(W41,0),'Tax Tables'!$B$27)*'Tax Tables'!$B$28+MIN(MAX(MAX(W41,0)-'Tax Tables'!$B$27,0),'Tax Tables'!$B$29)*'Tax Tables'!$B$30,MIN(MAX(W41,0),'Tax Tables'!$B$23)*'Tax Tables'!$B$24+MIN(MAX(MAX(W41,0)-'Tax Tables'!$B$23,0),'Tax Tables'!$B$25)*'Tax Tables'!$B$26))*Calculator!$B$11,Calculator!$B$12)</f>
        <v>47784.45</v>
      </c>
      <c r="Y41" s="11" t="n">
        <f aca="false">MAX(W41,0)-X41</f>
        <v>335800.55</v>
      </c>
      <c r="Z41" s="11" t="n">
        <f aca="false">MIN(IF(P41&gt;0,Calculator!$B$13,0)+T41+Calculator!$B$14,'Tax Tables'!$B$36)</f>
        <v>3800</v>
      </c>
      <c r="AA41" s="11" t="n">
        <f aca="false">MAX(P41-Z41,0)</f>
        <v>10200</v>
      </c>
      <c r="AB41" s="11" t="n">
        <f aca="false">SUMPRODUCT((AA41&gt;'Tax Tables'!$A$5:$A$17)*(AA41-'Tax Tables'!$A$5:$A$17)*'Tax Tables'!$C$5:$C$17)</f>
        <v>0</v>
      </c>
      <c r="AC41" s="11" t="n">
        <f aca="false">IF(W41&lt;0,-1E+099,P41-T41-AB41+Y41+(T41+U41)*Calculator!$B$9)</f>
        <v>352180.55</v>
      </c>
    </row>
    <row r="42" customFormat="false" ht="15" hidden="false" customHeight="false" outlineLevel="0" collapsed="false">
      <c r="A42" s="11" t="n">
        <f aca="false">29*$B$3</f>
        <v>14500</v>
      </c>
      <c r="B42" s="11" t="n">
        <f aca="false">0</f>
        <v>0</v>
      </c>
      <c r="C42" s="11" t="n">
        <f aca="false">A42-B42</f>
        <v>14500</v>
      </c>
      <c r="D42" s="11" t="n">
        <f aca="false">IF(Calculator!$B$6="Yes",MIN(B42,'Tax Tables'!$B$31*'Tax Tables'!$B$32),0)</f>
        <v>0</v>
      </c>
      <c r="E42" s="11" t="n">
        <f aca="false">D42*Calculator!$B$7</f>
        <v>0</v>
      </c>
      <c r="F42" s="11" t="n">
        <f aca="false">D42*Calculator!$B$8</f>
        <v>0</v>
      </c>
      <c r="G42" s="11" t="n">
        <f aca="false">IF(B42&gt;0,'Tax Tables'!$B$32*MIN(MAX(B42/'Tax Tables'!$B$32*'Tax Tables'!$B$33,'Tax Tables'!$B$34),'Tax Tables'!$B$35),0)</f>
        <v>0</v>
      </c>
      <c r="H42" s="11" t="n">
        <f aca="false">Calculator!$B$5-A42-F42-G42</f>
        <v>385500</v>
      </c>
      <c r="I42" s="11" t="n">
        <f aca="false">'Tax Tables'!$B$22*(MAX(H42,0)-IF(Calculator!$B$10="Yes",MIN(MAX(H42,0),'Tax Tables'!$B$27)*'Tax Tables'!$B$28+MIN(MAX(MAX(H42,0)-'Tax Tables'!$B$27,0),'Tax Tables'!$B$29)*'Tax Tables'!$B$30,MIN(MAX(H42,0),'Tax Tables'!$B$23)*'Tax Tables'!$B$24+MIN(MAX(MAX(H42,0)-'Tax Tables'!$B$23,0),'Tax Tables'!$B$25)*'Tax Tables'!$B$26))*1-MIN('Tax Tables'!$B$22*(MAX(H42,0)-IF(Calculator!$B$10="Yes",MIN(MAX(H42,0),'Tax Tables'!$B$27)*'Tax Tables'!$B$28+MIN(MAX(MAX(H42,0)-'Tax Tables'!$B$27,0),'Tax Tables'!$B$29)*'Tax Tables'!$B$30,MIN(MAX(H42,0),'Tax Tables'!$B$23)*'Tax Tables'!$B$24+MIN(MAX(MAX(H42,0)-'Tax Tables'!$B$23,0),'Tax Tables'!$B$25)*'Tax Tables'!$B$26))*Calculator!$B$11,Calculator!$B$12)</f>
        <v>48110</v>
      </c>
      <c r="J42" s="11" t="n">
        <f aca="false">MAX(H42,0)-I42</f>
        <v>337390</v>
      </c>
      <c r="K42" s="11" t="n">
        <f aca="false">MIN(IF(A42&gt;0,Calculator!$B$13,0)+E42+Calculator!$B$14,'Tax Tables'!$B$36)</f>
        <v>1000</v>
      </c>
      <c r="L42" s="11" t="n">
        <f aca="false">MAX(A42-K42,0)</f>
        <v>13500</v>
      </c>
      <c r="M42" s="11" t="n">
        <f aca="false">SUMPRODUCT((L42&gt;'Tax Tables'!$A$5:$A$17)*(L42-'Tax Tables'!$A$5:$A$17)*'Tax Tables'!$C$5:$C$17)</f>
        <v>0</v>
      </c>
      <c r="N42" s="11" t="n">
        <f aca="false">IF(H42&lt;0,-1E+099,A42-E42-M42+J42+(E42+F42)*Calculator!$B$9)</f>
        <v>351890</v>
      </c>
      <c r="O42" s="2"/>
      <c r="P42" s="11" t="n">
        <f aca="false">29*$B$3</f>
        <v>14500</v>
      </c>
      <c r="Q42" s="11" t="n">
        <f aca="false">MIN(P42,'Tax Tables'!$B$31*'Tax Tables'!$B$32)</f>
        <v>14500</v>
      </c>
      <c r="R42" s="11" t="n">
        <f aca="false">P42-Q42</f>
        <v>0</v>
      </c>
      <c r="S42" s="11" t="n">
        <f aca="false">IF(Calculator!$B$6="Yes",MIN(Q42,'Tax Tables'!$B$31*'Tax Tables'!$B$32),0)</f>
        <v>14500</v>
      </c>
      <c r="T42" s="11" t="n">
        <f aca="false">S42*Calculator!$B$7</f>
        <v>2900</v>
      </c>
      <c r="U42" s="11" t="n">
        <f aca="false">S42*Calculator!$B$8</f>
        <v>2465</v>
      </c>
      <c r="V42" s="11" t="n">
        <f aca="false">IF(Q42&gt;0,'Tax Tables'!$B$32*MIN(MAX(Q42/'Tax Tables'!$B$32*'Tax Tables'!$B$33,'Tax Tables'!$B$34),'Tax Tables'!$B$35),0)</f>
        <v>36.25</v>
      </c>
      <c r="W42" s="11" t="n">
        <f aca="false">Calculator!$B$5-P42-U42-V42</f>
        <v>382998.75</v>
      </c>
      <c r="X42" s="11" t="n">
        <f aca="false">'Tax Tables'!$B$22*(MAX(W42,0)-IF(Calculator!$B$10="Yes",MIN(MAX(W42,0),'Tax Tables'!$B$27)*'Tax Tables'!$B$28+MIN(MAX(MAX(W42,0)-'Tax Tables'!$B$27,0),'Tax Tables'!$B$29)*'Tax Tables'!$B$30,MIN(MAX(W42,0),'Tax Tables'!$B$23)*'Tax Tables'!$B$24+MIN(MAX(MAX(W42,0)-'Tax Tables'!$B$23,0),'Tax Tables'!$B$25)*'Tax Tables'!$B$26))*1-MIN('Tax Tables'!$B$22*(MAX(W42,0)-IF(Calculator!$B$10="Yes",MIN(MAX(W42,0),'Tax Tables'!$B$27)*'Tax Tables'!$B$28+MIN(MAX(MAX(W42,0)-'Tax Tables'!$B$27,0),'Tax Tables'!$B$29)*'Tax Tables'!$B$30,MIN(MAX(W42,0),'Tax Tables'!$B$23)*'Tax Tables'!$B$24+MIN(MAX(MAX(W42,0)-'Tax Tables'!$B$23,0),'Tax Tables'!$B$25)*'Tax Tables'!$B$26))*Calculator!$B$11,Calculator!$B$12)</f>
        <v>47684.7875</v>
      </c>
      <c r="Y42" s="11" t="n">
        <f aca="false">MAX(W42,0)-X42</f>
        <v>335313.9625</v>
      </c>
      <c r="Z42" s="11" t="n">
        <f aca="false">MIN(IF(P42&gt;0,Calculator!$B$13,0)+T42+Calculator!$B$14,'Tax Tables'!$B$36)</f>
        <v>3900</v>
      </c>
      <c r="AA42" s="11" t="n">
        <f aca="false">MAX(P42-Z42,0)</f>
        <v>10600</v>
      </c>
      <c r="AB42" s="11" t="n">
        <f aca="false">SUMPRODUCT((AA42&gt;'Tax Tables'!$A$5:$A$17)*(AA42-'Tax Tables'!$A$5:$A$17)*'Tax Tables'!$C$5:$C$17)</f>
        <v>0</v>
      </c>
      <c r="AC42" s="11" t="n">
        <f aca="false">IF(W42&lt;0,-1E+099,P42-T42-AB42+Y42+(T42+U42)*Calculator!$B$9)</f>
        <v>352278.9625</v>
      </c>
    </row>
    <row r="43" customFormat="false" ht="15" hidden="false" customHeight="false" outlineLevel="0" collapsed="false">
      <c r="A43" s="11" t="n">
        <f aca="false">30*$B$3</f>
        <v>15000</v>
      </c>
      <c r="B43" s="11" t="n">
        <f aca="false">0</f>
        <v>0</v>
      </c>
      <c r="C43" s="11" t="n">
        <f aca="false">A43-B43</f>
        <v>15000</v>
      </c>
      <c r="D43" s="11" t="n">
        <f aca="false">IF(Calculator!$B$6="Yes",MIN(B43,'Tax Tables'!$B$31*'Tax Tables'!$B$32),0)</f>
        <v>0</v>
      </c>
      <c r="E43" s="11" t="n">
        <f aca="false">D43*Calculator!$B$7</f>
        <v>0</v>
      </c>
      <c r="F43" s="11" t="n">
        <f aca="false">D43*Calculator!$B$8</f>
        <v>0</v>
      </c>
      <c r="G43" s="11" t="n">
        <f aca="false">IF(B43&gt;0,'Tax Tables'!$B$32*MIN(MAX(B43/'Tax Tables'!$B$32*'Tax Tables'!$B$33,'Tax Tables'!$B$34),'Tax Tables'!$B$35),0)</f>
        <v>0</v>
      </c>
      <c r="H43" s="11" t="n">
        <f aca="false">Calculator!$B$5-A43-F43-G43</f>
        <v>385000</v>
      </c>
      <c r="I43" s="11" t="n">
        <f aca="false">'Tax Tables'!$B$22*(MAX(H43,0)-IF(Calculator!$B$10="Yes",MIN(MAX(H43,0),'Tax Tables'!$B$27)*'Tax Tables'!$B$28+MIN(MAX(MAX(H43,0)-'Tax Tables'!$B$27,0),'Tax Tables'!$B$29)*'Tax Tables'!$B$30,MIN(MAX(H43,0),'Tax Tables'!$B$23)*'Tax Tables'!$B$24+MIN(MAX(MAX(H43,0)-'Tax Tables'!$B$23,0),'Tax Tables'!$B$25)*'Tax Tables'!$B$26))*1-MIN('Tax Tables'!$B$22*(MAX(H43,0)-IF(Calculator!$B$10="Yes",MIN(MAX(H43,0),'Tax Tables'!$B$27)*'Tax Tables'!$B$28+MIN(MAX(MAX(H43,0)-'Tax Tables'!$B$27,0),'Tax Tables'!$B$29)*'Tax Tables'!$B$30,MIN(MAX(H43,0),'Tax Tables'!$B$23)*'Tax Tables'!$B$24+MIN(MAX(MAX(H43,0)-'Tax Tables'!$B$23,0),'Tax Tables'!$B$25)*'Tax Tables'!$B$26))*Calculator!$B$11,Calculator!$B$12)</f>
        <v>48025</v>
      </c>
      <c r="J43" s="11" t="n">
        <f aca="false">MAX(H43,0)-I43</f>
        <v>336975</v>
      </c>
      <c r="K43" s="11" t="n">
        <f aca="false">MIN(IF(A43&gt;0,Calculator!$B$13,0)+E43+Calculator!$B$14,'Tax Tables'!$B$36)</f>
        <v>1000</v>
      </c>
      <c r="L43" s="11" t="n">
        <f aca="false">MAX(A43-K43,0)</f>
        <v>14000</v>
      </c>
      <c r="M43" s="11" t="n">
        <f aca="false">SUMPRODUCT((L43&gt;'Tax Tables'!$A$5:$A$17)*(L43-'Tax Tables'!$A$5:$A$17)*'Tax Tables'!$C$5:$C$17)</f>
        <v>0</v>
      </c>
      <c r="N43" s="11" t="n">
        <f aca="false">IF(H43&lt;0,-1E+099,A43-E43-M43+J43+(E43+F43)*Calculator!$B$9)</f>
        <v>351975</v>
      </c>
      <c r="O43" s="2"/>
      <c r="P43" s="11" t="n">
        <f aca="false">30*$B$3</f>
        <v>15000</v>
      </c>
      <c r="Q43" s="11" t="n">
        <f aca="false">MIN(P43,'Tax Tables'!$B$31*'Tax Tables'!$B$32)</f>
        <v>15000</v>
      </c>
      <c r="R43" s="11" t="n">
        <f aca="false">P43-Q43</f>
        <v>0</v>
      </c>
      <c r="S43" s="11" t="n">
        <f aca="false">IF(Calculator!$B$6="Yes",MIN(Q43,'Tax Tables'!$B$31*'Tax Tables'!$B$32),0)</f>
        <v>15000</v>
      </c>
      <c r="T43" s="11" t="n">
        <f aca="false">S43*Calculator!$B$7</f>
        <v>3000</v>
      </c>
      <c r="U43" s="11" t="n">
        <f aca="false">S43*Calculator!$B$8</f>
        <v>2550</v>
      </c>
      <c r="V43" s="11" t="n">
        <f aca="false">IF(Q43&gt;0,'Tax Tables'!$B$32*MIN(MAX(Q43/'Tax Tables'!$B$32*'Tax Tables'!$B$33,'Tax Tables'!$B$34),'Tax Tables'!$B$35),0)</f>
        <v>37.5</v>
      </c>
      <c r="W43" s="11" t="n">
        <f aca="false">Calculator!$B$5-P43-U43-V43</f>
        <v>382412.5</v>
      </c>
      <c r="X43" s="11" t="n">
        <f aca="false">'Tax Tables'!$B$22*(MAX(W43,0)-IF(Calculator!$B$10="Yes",MIN(MAX(W43,0),'Tax Tables'!$B$27)*'Tax Tables'!$B$28+MIN(MAX(MAX(W43,0)-'Tax Tables'!$B$27,0),'Tax Tables'!$B$29)*'Tax Tables'!$B$30,MIN(MAX(W43,0),'Tax Tables'!$B$23)*'Tax Tables'!$B$24+MIN(MAX(MAX(W43,0)-'Tax Tables'!$B$23,0),'Tax Tables'!$B$25)*'Tax Tables'!$B$26))*1-MIN('Tax Tables'!$B$22*(MAX(W43,0)-IF(Calculator!$B$10="Yes",MIN(MAX(W43,0),'Tax Tables'!$B$27)*'Tax Tables'!$B$28+MIN(MAX(MAX(W43,0)-'Tax Tables'!$B$27,0),'Tax Tables'!$B$29)*'Tax Tables'!$B$30,MIN(MAX(W43,0),'Tax Tables'!$B$23)*'Tax Tables'!$B$24+MIN(MAX(MAX(W43,0)-'Tax Tables'!$B$23,0),'Tax Tables'!$B$25)*'Tax Tables'!$B$26))*Calculator!$B$11,Calculator!$B$12)</f>
        <v>47585.125</v>
      </c>
      <c r="Y43" s="11" t="n">
        <f aca="false">MAX(W43,0)-X43</f>
        <v>334827.375</v>
      </c>
      <c r="Z43" s="11" t="n">
        <f aca="false">MIN(IF(P43&gt;0,Calculator!$B$13,0)+T43+Calculator!$B$14,'Tax Tables'!$B$36)</f>
        <v>4000</v>
      </c>
      <c r="AA43" s="11" t="n">
        <f aca="false">MAX(P43-Z43,0)</f>
        <v>11000</v>
      </c>
      <c r="AB43" s="11" t="n">
        <f aca="false">SUMPRODUCT((AA43&gt;'Tax Tables'!$A$5:$A$17)*(AA43-'Tax Tables'!$A$5:$A$17)*'Tax Tables'!$C$5:$C$17)</f>
        <v>0</v>
      </c>
      <c r="AC43" s="11" t="n">
        <f aca="false">IF(W43&lt;0,-1E+099,P43-T43-AB43+Y43+(T43+U43)*Calculator!$B$9)</f>
        <v>352377.375</v>
      </c>
    </row>
    <row r="44" customFormat="false" ht="15" hidden="false" customHeight="false" outlineLevel="0" collapsed="false">
      <c r="A44" s="11" t="n">
        <f aca="false">31*$B$3</f>
        <v>15500</v>
      </c>
      <c r="B44" s="11" t="n">
        <f aca="false">0</f>
        <v>0</v>
      </c>
      <c r="C44" s="11" t="n">
        <f aca="false">A44-B44</f>
        <v>15500</v>
      </c>
      <c r="D44" s="11" t="n">
        <f aca="false">IF(Calculator!$B$6="Yes",MIN(B44,'Tax Tables'!$B$31*'Tax Tables'!$B$32),0)</f>
        <v>0</v>
      </c>
      <c r="E44" s="11" t="n">
        <f aca="false">D44*Calculator!$B$7</f>
        <v>0</v>
      </c>
      <c r="F44" s="11" t="n">
        <f aca="false">D44*Calculator!$B$8</f>
        <v>0</v>
      </c>
      <c r="G44" s="11" t="n">
        <f aca="false">IF(B44&gt;0,'Tax Tables'!$B$32*MIN(MAX(B44/'Tax Tables'!$B$32*'Tax Tables'!$B$33,'Tax Tables'!$B$34),'Tax Tables'!$B$35),0)</f>
        <v>0</v>
      </c>
      <c r="H44" s="11" t="n">
        <f aca="false">Calculator!$B$5-A44-F44-G44</f>
        <v>384500</v>
      </c>
      <c r="I44" s="11" t="n">
        <f aca="false">'Tax Tables'!$B$22*(MAX(H44,0)-IF(Calculator!$B$10="Yes",MIN(MAX(H44,0),'Tax Tables'!$B$27)*'Tax Tables'!$B$28+MIN(MAX(MAX(H44,0)-'Tax Tables'!$B$27,0),'Tax Tables'!$B$29)*'Tax Tables'!$B$30,MIN(MAX(H44,0),'Tax Tables'!$B$23)*'Tax Tables'!$B$24+MIN(MAX(MAX(H44,0)-'Tax Tables'!$B$23,0),'Tax Tables'!$B$25)*'Tax Tables'!$B$26))*1-MIN('Tax Tables'!$B$22*(MAX(H44,0)-IF(Calculator!$B$10="Yes",MIN(MAX(H44,0),'Tax Tables'!$B$27)*'Tax Tables'!$B$28+MIN(MAX(MAX(H44,0)-'Tax Tables'!$B$27,0),'Tax Tables'!$B$29)*'Tax Tables'!$B$30,MIN(MAX(H44,0),'Tax Tables'!$B$23)*'Tax Tables'!$B$24+MIN(MAX(MAX(H44,0)-'Tax Tables'!$B$23,0),'Tax Tables'!$B$25)*'Tax Tables'!$B$26))*Calculator!$B$11,Calculator!$B$12)</f>
        <v>47940</v>
      </c>
      <c r="J44" s="11" t="n">
        <f aca="false">MAX(H44,0)-I44</f>
        <v>336560</v>
      </c>
      <c r="K44" s="11" t="n">
        <f aca="false">MIN(IF(A44&gt;0,Calculator!$B$13,0)+E44+Calculator!$B$14,'Tax Tables'!$B$36)</f>
        <v>1000</v>
      </c>
      <c r="L44" s="11" t="n">
        <f aca="false">MAX(A44-K44,0)</f>
        <v>14500</v>
      </c>
      <c r="M44" s="11" t="n">
        <f aca="false">SUMPRODUCT((L44&gt;'Tax Tables'!$A$5:$A$17)*(L44-'Tax Tables'!$A$5:$A$17)*'Tax Tables'!$C$5:$C$17)</f>
        <v>0</v>
      </c>
      <c r="N44" s="11" t="n">
        <f aca="false">IF(H44&lt;0,-1E+099,A44-E44-M44+J44+(E44+F44)*Calculator!$B$9)</f>
        <v>352060</v>
      </c>
      <c r="O44" s="2"/>
      <c r="P44" s="11" t="n">
        <f aca="false">31*$B$3</f>
        <v>15500</v>
      </c>
      <c r="Q44" s="11" t="n">
        <f aca="false">MIN(P44,'Tax Tables'!$B$31*'Tax Tables'!$B$32)</f>
        <v>15500</v>
      </c>
      <c r="R44" s="11" t="n">
        <f aca="false">P44-Q44</f>
        <v>0</v>
      </c>
      <c r="S44" s="11" t="n">
        <f aca="false">IF(Calculator!$B$6="Yes",MIN(Q44,'Tax Tables'!$B$31*'Tax Tables'!$B$32),0)</f>
        <v>15500</v>
      </c>
      <c r="T44" s="11" t="n">
        <f aca="false">S44*Calculator!$B$7</f>
        <v>3100</v>
      </c>
      <c r="U44" s="11" t="n">
        <f aca="false">S44*Calculator!$B$8</f>
        <v>2635</v>
      </c>
      <c r="V44" s="11" t="n">
        <f aca="false">IF(Q44&gt;0,'Tax Tables'!$B$32*MIN(MAX(Q44/'Tax Tables'!$B$32*'Tax Tables'!$B$33,'Tax Tables'!$B$34),'Tax Tables'!$B$35),0)</f>
        <v>38.75</v>
      </c>
      <c r="W44" s="11" t="n">
        <f aca="false">Calculator!$B$5-P44-U44-V44</f>
        <v>381826.25</v>
      </c>
      <c r="X44" s="11" t="n">
        <f aca="false">'Tax Tables'!$B$22*(MAX(W44,0)-IF(Calculator!$B$10="Yes",MIN(MAX(W44,0),'Tax Tables'!$B$27)*'Tax Tables'!$B$28+MIN(MAX(MAX(W44,0)-'Tax Tables'!$B$27,0),'Tax Tables'!$B$29)*'Tax Tables'!$B$30,MIN(MAX(W44,0),'Tax Tables'!$B$23)*'Tax Tables'!$B$24+MIN(MAX(MAX(W44,0)-'Tax Tables'!$B$23,0),'Tax Tables'!$B$25)*'Tax Tables'!$B$26))*1-MIN('Tax Tables'!$B$22*(MAX(W44,0)-IF(Calculator!$B$10="Yes",MIN(MAX(W44,0),'Tax Tables'!$B$27)*'Tax Tables'!$B$28+MIN(MAX(MAX(W44,0)-'Tax Tables'!$B$27,0),'Tax Tables'!$B$29)*'Tax Tables'!$B$30,MIN(MAX(W44,0),'Tax Tables'!$B$23)*'Tax Tables'!$B$24+MIN(MAX(MAX(W44,0)-'Tax Tables'!$B$23,0),'Tax Tables'!$B$25)*'Tax Tables'!$B$26))*Calculator!$B$11,Calculator!$B$12)</f>
        <v>47485.4625</v>
      </c>
      <c r="Y44" s="11" t="n">
        <f aca="false">MAX(W44,0)-X44</f>
        <v>334340.7875</v>
      </c>
      <c r="Z44" s="11" t="n">
        <f aca="false">MIN(IF(P44&gt;0,Calculator!$B$13,0)+T44+Calculator!$B$14,'Tax Tables'!$B$36)</f>
        <v>4100</v>
      </c>
      <c r="AA44" s="11" t="n">
        <f aca="false">MAX(P44-Z44,0)</f>
        <v>11400</v>
      </c>
      <c r="AB44" s="11" t="n">
        <f aca="false">SUMPRODUCT((AA44&gt;'Tax Tables'!$A$5:$A$17)*(AA44-'Tax Tables'!$A$5:$A$17)*'Tax Tables'!$C$5:$C$17)</f>
        <v>0</v>
      </c>
      <c r="AC44" s="11" t="n">
        <f aca="false">IF(W44&lt;0,-1E+099,P44-T44-AB44+Y44+(T44+U44)*Calculator!$B$9)</f>
        <v>352475.7875</v>
      </c>
    </row>
    <row r="45" customFormat="false" ht="15" hidden="false" customHeight="false" outlineLevel="0" collapsed="false">
      <c r="A45" s="11" t="n">
        <f aca="false">32*$B$3</f>
        <v>16000</v>
      </c>
      <c r="B45" s="11" t="n">
        <f aca="false">0</f>
        <v>0</v>
      </c>
      <c r="C45" s="11" t="n">
        <f aca="false">A45-B45</f>
        <v>16000</v>
      </c>
      <c r="D45" s="11" t="n">
        <f aca="false">IF(Calculator!$B$6="Yes",MIN(B45,'Tax Tables'!$B$31*'Tax Tables'!$B$32),0)</f>
        <v>0</v>
      </c>
      <c r="E45" s="11" t="n">
        <f aca="false">D45*Calculator!$B$7</f>
        <v>0</v>
      </c>
      <c r="F45" s="11" t="n">
        <f aca="false">D45*Calculator!$B$8</f>
        <v>0</v>
      </c>
      <c r="G45" s="11" t="n">
        <f aca="false">IF(B45&gt;0,'Tax Tables'!$B$32*MIN(MAX(B45/'Tax Tables'!$B$32*'Tax Tables'!$B$33,'Tax Tables'!$B$34),'Tax Tables'!$B$35),0)</f>
        <v>0</v>
      </c>
      <c r="H45" s="11" t="n">
        <f aca="false">Calculator!$B$5-A45-F45-G45</f>
        <v>384000</v>
      </c>
      <c r="I45" s="11" t="n">
        <f aca="false">'Tax Tables'!$B$22*(MAX(H45,0)-IF(Calculator!$B$10="Yes",MIN(MAX(H45,0),'Tax Tables'!$B$27)*'Tax Tables'!$B$28+MIN(MAX(MAX(H45,0)-'Tax Tables'!$B$27,0),'Tax Tables'!$B$29)*'Tax Tables'!$B$30,MIN(MAX(H45,0),'Tax Tables'!$B$23)*'Tax Tables'!$B$24+MIN(MAX(MAX(H45,0)-'Tax Tables'!$B$23,0),'Tax Tables'!$B$25)*'Tax Tables'!$B$26))*1-MIN('Tax Tables'!$B$22*(MAX(H45,0)-IF(Calculator!$B$10="Yes",MIN(MAX(H45,0),'Tax Tables'!$B$27)*'Tax Tables'!$B$28+MIN(MAX(MAX(H45,0)-'Tax Tables'!$B$27,0),'Tax Tables'!$B$29)*'Tax Tables'!$B$30,MIN(MAX(H45,0),'Tax Tables'!$B$23)*'Tax Tables'!$B$24+MIN(MAX(MAX(H45,0)-'Tax Tables'!$B$23,0),'Tax Tables'!$B$25)*'Tax Tables'!$B$26))*Calculator!$B$11,Calculator!$B$12)</f>
        <v>47855</v>
      </c>
      <c r="J45" s="11" t="n">
        <f aca="false">MAX(H45,0)-I45</f>
        <v>336145</v>
      </c>
      <c r="K45" s="11" t="n">
        <f aca="false">MIN(IF(A45&gt;0,Calculator!$B$13,0)+E45+Calculator!$B$14,'Tax Tables'!$B$36)</f>
        <v>1000</v>
      </c>
      <c r="L45" s="11" t="n">
        <f aca="false">MAX(A45-K45,0)</f>
        <v>15000</v>
      </c>
      <c r="M45" s="11" t="n">
        <f aca="false">SUMPRODUCT((L45&gt;'Tax Tables'!$A$5:$A$17)*(L45-'Tax Tables'!$A$5:$A$17)*'Tax Tables'!$C$5:$C$17)</f>
        <v>0</v>
      </c>
      <c r="N45" s="11" t="n">
        <f aca="false">IF(H45&lt;0,-1E+099,A45-E45-M45+J45+(E45+F45)*Calculator!$B$9)</f>
        <v>352145</v>
      </c>
      <c r="O45" s="2"/>
      <c r="P45" s="11" t="n">
        <f aca="false">32*$B$3</f>
        <v>16000</v>
      </c>
      <c r="Q45" s="11" t="n">
        <f aca="false">MIN(P45,'Tax Tables'!$B$31*'Tax Tables'!$B$32)</f>
        <v>16000</v>
      </c>
      <c r="R45" s="11" t="n">
        <f aca="false">P45-Q45</f>
        <v>0</v>
      </c>
      <c r="S45" s="11" t="n">
        <f aca="false">IF(Calculator!$B$6="Yes",MIN(Q45,'Tax Tables'!$B$31*'Tax Tables'!$B$32),0)</f>
        <v>16000</v>
      </c>
      <c r="T45" s="11" t="n">
        <f aca="false">S45*Calculator!$B$7</f>
        <v>3200</v>
      </c>
      <c r="U45" s="11" t="n">
        <f aca="false">S45*Calculator!$B$8</f>
        <v>2720</v>
      </c>
      <c r="V45" s="11" t="n">
        <f aca="false">IF(Q45&gt;0,'Tax Tables'!$B$32*MIN(MAX(Q45/'Tax Tables'!$B$32*'Tax Tables'!$B$33,'Tax Tables'!$B$34),'Tax Tables'!$B$35),0)</f>
        <v>40</v>
      </c>
      <c r="W45" s="11" t="n">
        <f aca="false">Calculator!$B$5-P45-U45-V45</f>
        <v>381240</v>
      </c>
      <c r="X45" s="11" t="n">
        <f aca="false">'Tax Tables'!$B$22*(MAX(W45,0)-IF(Calculator!$B$10="Yes",MIN(MAX(W45,0),'Tax Tables'!$B$27)*'Tax Tables'!$B$28+MIN(MAX(MAX(W45,0)-'Tax Tables'!$B$27,0),'Tax Tables'!$B$29)*'Tax Tables'!$B$30,MIN(MAX(W45,0),'Tax Tables'!$B$23)*'Tax Tables'!$B$24+MIN(MAX(MAX(W45,0)-'Tax Tables'!$B$23,0),'Tax Tables'!$B$25)*'Tax Tables'!$B$26))*1-MIN('Tax Tables'!$B$22*(MAX(W45,0)-IF(Calculator!$B$10="Yes",MIN(MAX(W45,0),'Tax Tables'!$B$27)*'Tax Tables'!$B$28+MIN(MAX(MAX(W45,0)-'Tax Tables'!$B$27,0),'Tax Tables'!$B$29)*'Tax Tables'!$B$30,MIN(MAX(W45,0),'Tax Tables'!$B$23)*'Tax Tables'!$B$24+MIN(MAX(MAX(W45,0)-'Tax Tables'!$B$23,0),'Tax Tables'!$B$25)*'Tax Tables'!$B$26))*Calculator!$B$11,Calculator!$B$12)</f>
        <v>47385.8</v>
      </c>
      <c r="Y45" s="11" t="n">
        <f aca="false">MAX(W45,0)-X45</f>
        <v>333854.2</v>
      </c>
      <c r="Z45" s="11" t="n">
        <f aca="false">MIN(IF(P45&gt;0,Calculator!$B$13,0)+T45+Calculator!$B$14,'Tax Tables'!$B$36)</f>
        <v>4200</v>
      </c>
      <c r="AA45" s="11" t="n">
        <f aca="false">MAX(P45-Z45,0)</f>
        <v>11800</v>
      </c>
      <c r="AB45" s="11" t="n">
        <f aca="false">SUMPRODUCT((AA45&gt;'Tax Tables'!$A$5:$A$17)*(AA45-'Tax Tables'!$A$5:$A$17)*'Tax Tables'!$C$5:$C$17)</f>
        <v>0</v>
      </c>
      <c r="AC45" s="11" t="n">
        <f aca="false">IF(W45&lt;0,-1E+099,P45-T45-AB45+Y45+(T45+U45)*Calculator!$B$9)</f>
        <v>352574.2</v>
      </c>
    </row>
    <row r="46" customFormat="false" ht="15" hidden="false" customHeight="false" outlineLevel="0" collapsed="false">
      <c r="A46" s="11" t="n">
        <f aca="false">33*$B$3</f>
        <v>16500</v>
      </c>
      <c r="B46" s="11" t="n">
        <f aca="false">0</f>
        <v>0</v>
      </c>
      <c r="C46" s="11" t="n">
        <f aca="false">A46-B46</f>
        <v>16500</v>
      </c>
      <c r="D46" s="11" t="n">
        <f aca="false">IF(Calculator!$B$6="Yes",MIN(B46,'Tax Tables'!$B$31*'Tax Tables'!$B$32),0)</f>
        <v>0</v>
      </c>
      <c r="E46" s="11" t="n">
        <f aca="false">D46*Calculator!$B$7</f>
        <v>0</v>
      </c>
      <c r="F46" s="11" t="n">
        <f aca="false">D46*Calculator!$B$8</f>
        <v>0</v>
      </c>
      <c r="G46" s="11" t="n">
        <f aca="false">IF(B46&gt;0,'Tax Tables'!$B$32*MIN(MAX(B46/'Tax Tables'!$B$32*'Tax Tables'!$B$33,'Tax Tables'!$B$34),'Tax Tables'!$B$35),0)</f>
        <v>0</v>
      </c>
      <c r="H46" s="11" t="n">
        <f aca="false">Calculator!$B$5-A46-F46-G46</f>
        <v>383500</v>
      </c>
      <c r="I46" s="11" t="n">
        <f aca="false">'Tax Tables'!$B$22*(MAX(H46,0)-IF(Calculator!$B$10="Yes",MIN(MAX(H46,0),'Tax Tables'!$B$27)*'Tax Tables'!$B$28+MIN(MAX(MAX(H46,0)-'Tax Tables'!$B$27,0),'Tax Tables'!$B$29)*'Tax Tables'!$B$30,MIN(MAX(H46,0),'Tax Tables'!$B$23)*'Tax Tables'!$B$24+MIN(MAX(MAX(H46,0)-'Tax Tables'!$B$23,0),'Tax Tables'!$B$25)*'Tax Tables'!$B$26))*1-MIN('Tax Tables'!$B$22*(MAX(H46,0)-IF(Calculator!$B$10="Yes",MIN(MAX(H46,0),'Tax Tables'!$B$27)*'Tax Tables'!$B$28+MIN(MAX(MAX(H46,0)-'Tax Tables'!$B$27,0),'Tax Tables'!$B$29)*'Tax Tables'!$B$30,MIN(MAX(H46,0),'Tax Tables'!$B$23)*'Tax Tables'!$B$24+MIN(MAX(MAX(H46,0)-'Tax Tables'!$B$23,0),'Tax Tables'!$B$25)*'Tax Tables'!$B$26))*Calculator!$B$11,Calculator!$B$12)</f>
        <v>47770</v>
      </c>
      <c r="J46" s="11" t="n">
        <f aca="false">MAX(H46,0)-I46</f>
        <v>335730</v>
      </c>
      <c r="K46" s="11" t="n">
        <f aca="false">MIN(IF(A46&gt;0,Calculator!$B$13,0)+E46+Calculator!$B$14,'Tax Tables'!$B$36)</f>
        <v>1000</v>
      </c>
      <c r="L46" s="11" t="n">
        <f aca="false">MAX(A46-K46,0)</f>
        <v>15500</v>
      </c>
      <c r="M46" s="11" t="n">
        <f aca="false">SUMPRODUCT((L46&gt;'Tax Tables'!$A$5:$A$17)*(L46-'Tax Tables'!$A$5:$A$17)*'Tax Tables'!$C$5:$C$17)</f>
        <v>0</v>
      </c>
      <c r="N46" s="11" t="n">
        <f aca="false">IF(H46&lt;0,-1E+099,A46-E46-M46+J46+(E46+F46)*Calculator!$B$9)</f>
        <v>352230</v>
      </c>
      <c r="O46" s="2"/>
      <c r="P46" s="11" t="n">
        <f aca="false">33*$B$3</f>
        <v>16500</v>
      </c>
      <c r="Q46" s="11" t="n">
        <f aca="false">MIN(P46,'Tax Tables'!$B$31*'Tax Tables'!$B$32)</f>
        <v>16500</v>
      </c>
      <c r="R46" s="11" t="n">
        <f aca="false">P46-Q46</f>
        <v>0</v>
      </c>
      <c r="S46" s="11" t="n">
        <f aca="false">IF(Calculator!$B$6="Yes",MIN(Q46,'Tax Tables'!$B$31*'Tax Tables'!$B$32),0)</f>
        <v>16500</v>
      </c>
      <c r="T46" s="11" t="n">
        <f aca="false">S46*Calculator!$B$7</f>
        <v>3300</v>
      </c>
      <c r="U46" s="11" t="n">
        <f aca="false">S46*Calculator!$B$8</f>
        <v>2805</v>
      </c>
      <c r="V46" s="11" t="n">
        <f aca="false">IF(Q46&gt;0,'Tax Tables'!$B$32*MIN(MAX(Q46/'Tax Tables'!$B$32*'Tax Tables'!$B$33,'Tax Tables'!$B$34),'Tax Tables'!$B$35),0)</f>
        <v>41.25</v>
      </c>
      <c r="W46" s="11" t="n">
        <f aca="false">Calculator!$B$5-P46-U46-V46</f>
        <v>380653.75</v>
      </c>
      <c r="X46" s="11" t="n">
        <f aca="false">'Tax Tables'!$B$22*(MAX(W46,0)-IF(Calculator!$B$10="Yes",MIN(MAX(W46,0),'Tax Tables'!$B$27)*'Tax Tables'!$B$28+MIN(MAX(MAX(W46,0)-'Tax Tables'!$B$27,0),'Tax Tables'!$B$29)*'Tax Tables'!$B$30,MIN(MAX(W46,0),'Tax Tables'!$B$23)*'Tax Tables'!$B$24+MIN(MAX(MAX(W46,0)-'Tax Tables'!$B$23,0),'Tax Tables'!$B$25)*'Tax Tables'!$B$26))*1-MIN('Tax Tables'!$B$22*(MAX(W46,0)-IF(Calculator!$B$10="Yes",MIN(MAX(W46,0),'Tax Tables'!$B$27)*'Tax Tables'!$B$28+MIN(MAX(MAX(W46,0)-'Tax Tables'!$B$27,0),'Tax Tables'!$B$29)*'Tax Tables'!$B$30,MIN(MAX(W46,0),'Tax Tables'!$B$23)*'Tax Tables'!$B$24+MIN(MAX(MAX(W46,0)-'Tax Tables'!$B$23,0),'Tax Tables'!$B$25)*'Tax Tables'!$B$26))*Calculator!$B$11,Calculator!$B$12)</f>
        <v>47286.1375</v>
      </c>
      <c r="Y46" s="11" t="n">
        <f aca="false">MAX(W46,0)-X46</f>
        <v>333367.6125</v>
      </c>
      <c r="Z46" s="11" t="n">
        <f aca="false">MIN(IF(P46&gt;0,Calculator!$B$13,0)+T46+Calculator!$B$14,'Tax Tables'!$B$36)</f>
        <v>4300</v>
      </c>
      <c r="AA46" s="11" t="n">
        <f aca="false">MAX(P46-Z46,0)</f>
        <v>12200</v>
      </c>
      <c r="AB46" s="11" t="n">
        <f aca="false">SUMPRODUCT((AA46&gt;'Tax Tables'!$A$5:$A$17)*(AA46-'Tax Tables'!$A$5:$A$17)*'Tax Tables'!$C$5:$C$17)</f>
        <v>0</v>
      </c>
      <c r="AC46" s="11" t="n">
        <f aca="false">IF(W46&lt;0,-1E+099,P46-T46-AB46+Y46+(T46+U46)*Calculator!$B$9)</f>
        <v>352672.6125</v>
      </c>
    </row>
    <row r="47" customFormat="false" ht="15" hidden="false" customHeight="false" outlineLevel="0" collapsed="false">
      <c r="A47" s="11" t="n">
        <f aca="false">34*$B$3</f>
        <v>17000</v>
      </c>
      <c r="B47" s="11" t="n">
        <f aca="false">0</f>
        <v>0</v>
      </c>
      <c r="C47" s="11" t="n">
        <f aca="false">A47-B47</f>
        <v>17000</v>
      </c>
      <c r="D47" s="11" t="n">
        <f aca="false">IF(Calculator!$B$6="Yes",MIN(B47,'Tax Tables'!$B$31*'Tax Tables'!$B$32),0)</f>
        <v>0</v>
      </c>
      <c r="E47" s="11" t="n">
        <f aca="false">D47*Calculator!$B$7</f>
        <v>0</v>
      </c>
      <c r="F47" s="11" t="n">
        <f aca="false">D47*Calculator!$B$8</f>
        <v>0</v>
      </c>
      <c r="G47" s="11" t="n">
        <f aca="false">IF(B47&gt;0,'Tax Tables'!$B$32*MIN(MAX(B47/'Tax Tables'!$B$32*'Tax Tables'!$B$33,'Tax Tables'!$B$34),'Tax Tables'!$B$35),0)</f>
        <v>0</v>
      </c>
      <c r="H47" s="11" t="n">
        <f aca="false">Calculator!$B$5-A47-F47-G47</f>
        <v>383000</v>
      </c>
      <c r="I47" s="11" t="n">
        <f aca="false">'Tax Tables'!$B$22*(MAX(H47,0)-IF(Calculator!$B$10="Yes",MIN(MAX(H47,0),'Tax Tables'!$B$27)*'Tax Tables'!$B$28+MIN(MAX(MAX(H47,0)-'Tax Tables'!$B$27,0),'Tax Tables'!$B$29)*'Tax Tables'!$B$30,MIN(MAX(H47,0),'Tax Tables'!$B$23)*'Tax Tables'!$B$24+MIN(MAX(MAX(H47,0)-'Tax Tables'!$B$23,0),'Tax Tables'!$B$25)*'Tax Tables'!$B$26))*1-MIN('Tax Tables'!$B$22*(MAX(H47,0)-IF(Calculator!$B$10="Yes",MIN(MAX(H47,0),'Tax Tables'!$B$27)*'Tax Tables'!$B$28+MIN(MAX(MAX(H47,0)-'Tax Tables'!$B$27,0),'Tax Tables'!$B$29)*'Tax Tables'!$B$30,MIN(MAX(H47,0),'Tax Tables'!$B$23)*'Tax Tables'!$B$24+MIN(MAX(MAX(H47,0)-'Tax Tables'!$B$23,0),'Tax Tables'!$B$25)*'Tax Tables'!$B$26))*Calculator!$B$11,Calculator!$B$12)</f>
        <v>47685</v>
      </c>
      <c r="J47" s="11" t="n">
        <f aca="false">MAX(H47,0)-I47</f>
        <v>335315</v>
      </c>
      <c r="K47" s="11" t="n">
        <f aca="false">MIN(IF(A47&gt;0,Calculator!$B$13,0)+E47+Calculator!$B$14,'Tax Tables'!$B$36)</f>
        <v>1000</v>
      </c>
      <c r="L47" s="11" t="n">
        <f aca="false">MAX(A47-K47,0)</f>
        <v>16000</v>
      </c>
      <c r="M47" s="11" t="n">
        <f aca="false">SUMPRODUCT((L47&gt;'Tax Tables'!$A$5:$A$17)*(L47-'Tax Tables'!$A$5:$A$17)*'Tax Tables'!$C$5:$C$17)</f>
        <v>0</v>
      </c>
      <c r="N47" s="11" t="n">
        <f aca="false">IF(H47&lt;0,-1E+099,A47-E47-M47+J47+(E47+F47)*Calculator!$B$9)</f>
        <v>352315</v>
      </c>
      <c r="O47" s="2"/>
      <c r="P47" s="11" t="n">
        <f aca="false">34*$B$3</f>
        <v>17000</v>
      </c>
      <c r="Q47" s="11" t="n">
        <f aca="false">MIN(P47,'Tax Tables'!$B$31*'Tax Tables'!$B$32)</f>
        <v>17000</v>
      </c>
      <c r="R47" s="11" t="n">
        <f aca="false">P47-Q47</f>
        <v>0</v>
      </c>
      <c r="S47" s="11" t="n">
        <f aca="false">IF(Calculator!$B$6="Yes",MIN(Q47,'Tax Tables'!$B$31*'Tax Tables'!$B$32),0)</f>
        <v>17000</v>
      </c>
      <c r="T47" s="11" t="n">
        <f aca="false">S47*Calculator!$B$7</f>
        <v>3400</v>
      </c>
      <c r="U47" s="11" t="n">
        <f aca="false">S47*Calculator!$B$8</f>
        <v>2890</v>
      </c>
      <c r="V47" s="11" t="n">
        <f aca="false">IF(Q47&gt;0,'Tax Tables'!$B$32*MIN(MAX(Q47/'Tax Tables'!$B$32*'Tax Tables'!$B$33,'Tax Tables'!$B$34),'Tax Tables'!$B$35),0)</f>
        <v>42.5</v>
      </c>
      <c r="W47" s="11" t="n">
        <f aca="false">Calculator!$B$5-P47-U47-V47</f>
        <v>380067.5</v>
      </c>
      <c r="X47" s="11" t="n">
        <f aca="false">'Tax Tables'!$B$22*(MAX(W47,0)-IF(Calculator!$B$10="Yes",MIN(MAX(W47,0),'Tax Tables'!$B$27)*'Tax Tables'!$B$28+MIN(MAX(MAX(W47,0)-'Tax Tables'!$B$27,0),'Tax Tables'!$B$29)*'Tax Tables'!$B$30,MIN(MAX(W47,0),'Tax Tables'!$B$23)*'Tax Tables'!$B$24+MIN(MAX(MAX(W47,0)-'Tax Tables'!$B$23,0),'Tax Tables'!$B$25)*'Tax Tables'!$B$26))*1-MIN('Tax Tables'!$B$22*(MAX(W47,0)-IF(Calculator!$B$10="Yes",MIN(MAX(W47,0),'Tax Tables'!$B$27)*'Tax Tables'!$B$28+MIN(MAX(MAX(W47,0)-'Tax Tables'!$B$27,0),'Tax Tables'!$B$29)*'Tax Tables'!$B$30,MIN(MAX(W47,0),'Tax Tables'!$B$23)*'Tax Tables'!$B$24+MIN(MAX(MAX(W47,0)-'Tax Tables'!$B$23,0),'Tax Tables'!$B$25)*'Tax Tables'!$B$26))*Calculator!$B$11,Calculator!$B$12)</f>
        <v>47186.475</v>
      </c>
      <c r="Y47" s="11" t="n">
        <f aca="false">MAX(W47,0)-X47</f>
        <v>332881.025</v>
      </c>
      <c r="Z47" s="11" t="n">
        <f aca="false">MIN(IF(P47&gt;0,Calculator!$B$13,0)+T47+Calculator!$B$14,'Tax Tables'!$B$36)</f>
        <v>4400</v>
      </c>
      <c r="AA47" s="11" t="n">
        <f aca="false">MAX(P47-Z47,0)</f>
        <v>12600</v>
      </c>
      <c r="AB47" s="11" t="n">
        <f aca="false">SUMPRODUCT((AA47&gt;'Tax Tables'!$A$5:$A$17)*(AA47-'Tax Tables'!$A$5:$A$17)*'Tax Tables'!$C$5:$C$17)</f>
        <v>0</v>
      </c>
      <c r="AC47" s="11" t="n">
        <f aca="false">IF(W47&lt;0,-1E+099,P47-T47-AB47+Y47+(T47+U47)*Calculator!$B$9)</f>
        <v>352771.025</v>
      </c>
    </row>
    <row r="48" customFormat="false" ht="15" hidden="false" customHeight="false" outlineLevel="0" collapsed="false">
      <c r="A48" s="11" t="n">
        <f aca="false">35*$B$3</f>
        <v>17500</v>
      </c>
      <c r="B48" s="11" t="n">
        <f aca="false">0</f>
        <v>0</v>
      </c>
      <c r="C48" s="11" t="n">
        <f aca="false">A48-B48</f>
        <v>17500</v>
      </c>
      <c r="D48" s="11" t="n">
        <f aca="false">IF(Calculator!$B$6="Yes",MIN(B48,'Tax Tables'!$B$31*'Tax Tables'!$B$32),0)</f>
        <v>0</v>
      </c>
      <c r="E48" s="11" t="n">
        <f aca="false">D48*Calculator!$B$7</f>
        <v>0</v>
      </c>
      <c r="F48" s="11" t="n">
        <f aca="false">D48*Calculator!$B$8</f>
        <v>0</v>
      </c>
      <c r="G48" s="11" t="n">
        <f aca="false">IF(B48&gt;0,'Tax Tables'!$B$32*MIN(MAX(B48/'Tax Tables'!$B$32*'Tax Tables'!$B$33,'Tax Tables'!$B$34),'Tax Tables'!$B$35),0)</f>
        <v>0</v>
      </c>
      <c r="H48" s="11" t="n">
        <f aca="false">Calculator!$B$5-A48-F48-G48</f>
        <v>382500</v>
      </c>
      <c r="I48" s="11" t="n">
        <f aca="false">'Tax Tables'!$B$22*(MAX(H48,0)-IF(Calculator!$B$10="Yes",MIN(MAX(H48,0),'Tax Tables'!$B$27)*'Tax Tables'!$B$28+MIN(MAX(MAX(H48,0)-'Tax Tables'!$B$27,0),'Tax Tables'!$B$29)*'Tax Tables'!$B$30,MIN(MAX(H48,0),'Tax Tables'!$B$23)*'Tax Tables'!$B$24+MIN(MAX(MAX(H48,0)-'Tax Tables'!$B$23,0),'Tax Tables'!$B$25)*'Tax Tables'!$B$26))*1-MIN('Tax Tables'!$B$22*(MAX(H48,0)-IF(Calculator!$B$10="Yes",MIN(MAX(H48,0),'Tax Tables'!$B$27)*'Tax Tables'!$B$28+MIN(MAX(MAX(H48,0)-'Tax Tables'!$B$27,0),'Tax Tables'!$B$29)*'Tax Tables'!$B$30,MIN(MAX(H48,0),'Tax Tables'!$B$23)*'Tax Tables'!$B$24+MIN(MAX(MAX(H48,0)-'Tax Tables'!$B$23,0),'Tax Tables'!$B$25)*'Tax Tables'!$B$26))*Calculator!$B$11,Calculator!$B$12)</f>
        <v>47600</v>
      </c>
      <c r="J48" s="11" t="n">
        <f aca="false">MAX(H48,0)-I48</f>
        <v>334900</v>
      </c>
      <c r="K48" s="11" t="n">
        <f aca="false">MIN(IF(A48&gt;0,Calculator!$B$13,0)+E48+Calculator!$B$14,'Tax Tables'!$B$36)</f>
        <v>1000</v>
      </c>
      <c r="L48" s="11" t="n">
        <f aca="false">MAX(A48-K48,0)</f>
        <v>16500</v>
      </c>
      <c r="M48" s="11" t="n">
        <f aca="false">SUMPRODUCT((L48&gt;'Tax Tables'!$A$5:$A$17)*(L48-'Tax Tables'!$A$5:$A$17)*'Tax Tables'!$C$5:$C$17)</f>
        <v>0</v>
      </c>
      <c r="N48" s="11" t="n">
        <f aca="false">IF(H48&lt;0,-1E+099,A48-E48-M48+J48+(E48+F48)*Calculator!$B$9)</f>
        <v>352400</v>
      </c>
      <c r="O48" s="2"/>
      <c r="P48" s="11" t="n">
        <f aca="false">35*$B$3</f>
        <v>17500</v>
      </c>
      <c r="Q48" s="11" t="n">
        <f aca="false">MIN(P48,'Tax Tables'!$B$31*'Tax Tables'!$B$32)</f>
        <v>17500</v>
      </c>
      <c r="R48" s="11" t="n">
        <f aca="false">P48-Q48</f>
        <v>0</v>
      </c>
      <c r="S48" s="11" t="n">
        <f aca="false">IF(Calculator!$B$6="Yes",MIN(Q48,'Tax Tables'!$B$31*'Tax Tables'!$B$32),0)</f>
        <v>17500</v>
      </c>
      <c r="T48" s="11" t="n">
        <f aca="false">S48*Calculator!$B$7</f>
        <v>3500</v>
      </c>
      <c r="U48" s="11" t="n">
        <f aca="false">S48*Calculator!$B$8</f>
        <v>2975</v>
      </c>
      <c r="V48" s="11" t="n">
        <f aca="false">IF(Q48&gt;0,'Tax Tables'!$B$32*MIN(MAX(Q48/'Tax Tables'!$B$32*'Tax Tables'!$B$33,'Tax Tables'!$B$34),'Tax Tables'!$B$35),0)</f>
        <v>43.75</v>
      </c>
      <c r="W48" s="11" t="n">
        <f aca="false">Calculator!$B$5-P48-U48-V48</f>
        <v>379481.25</v>
      </c>
      <c r="X48" s="11" t="n">
        <f aca="false">'Tax Tables'!$B$22*(MAX(W48,0)-IF(Calculator!$B$10="Yes",MIN(MAX(W48,0),'Tax Tables'!$B$27)*'Tax Tables'!$B$28+MIN(MAX(MAX(W48,0)-'Tax Tables'!$B$27,0),'Tax Tables'!$B$29)*'Tax Tables'!$B$30,MIN(MAX(W48,0),'Tax Tables'!$B$23)*'Tax Tables'!$B$24+MIN(MAX(MAX(W48,0)-'Tax Tables'!$B$23,0),'Tax Tables'!$B$25)*'Tax Tables'!$B$26))*1-MIN('Tax Tables'!$B$22*(MAX(W48,0)-IF(Calculator!$B$10="Yes",MIN(MAX(W48,0),'Tax Tables'!$B$27)*'Tax Tables'!$B$28+MIN(MAX(MAX(W48,0)-'Tax Tables'!$B$27,0),'Tax Tables'!$B$29)*'Tax Tables'!$B$30,MIN(MAX(W48,0),'Tax Tables'!$B$23)*'Tax Tables'!$B$24+MIN(MAX(MAX(W48,0)-'Tax Tables'!$B$23,0),'Tax Tables'!$B$25)*'Tax Tables'!$B$26))*Calculator!$B$11,Calculator!$B$12)</f>
        <v>47086.8125</v>
      </c>
      <c r="Y48" s="11" t="n">
        <f aca="false">MAX(W48,0)-X48</f>
        <v>332394.4375</v>
      </c>
      <c r="Z48" s="11" t="n">
        <f aca="false">MIN(IF(P48&gt;0,Calculator!$B$13,0)+T48+Calculator!$B$14,'Tax Tables'!$B$36)</f>
        <v>4500</v>
      </c>
      <c r="AA48" s="11" t="n">
        <f aca="false">MAX(P48-Z48,0)</f>
        <v>13000</v>
      </c>
      <c r="AB48" s="11" t="n">
        <f aca="false">SUMPRODUCT((AA48&gt;'Tax Tables'!$A$5:$A$17)*(AA48-'Tax Tables'!$A$5:$A$17)*'Tax Tables'!$C$5:$C$17)</f>
        <v>0</v>
      </c>
      <c r="AC48" s="11" t="n">
        <f aca="false">IF(W48&lt;0,-1E+099,P48-T48-AB48+Y48+(T48+U48)*Calculator!$B$9)</f>
        <v>352869.4375</v>
      </c>
    </row>
    <row r="49" customFormat="false" ht="15" hidden="false" customHeight="false" outlineLevel="0" collapsed="false">
      <c r="A49" s="11" t="n">
        <f aca="false">36*$B$3</f>
        <v>18000</v>
      </c>
      <c r="B49" s="11" t="n">
        <f aca="false">0</f>
        <v>0</v>
      </c>
      <c r="C49" s="11" t="n">
        <f aca="false">A49-B49</f>
        <v>18000</v>
      </c>
      <c r="D49" s="11" t="n">
        <f aca="false">IF(Calculator!$B$6="Yes",MIN(B49,'Tax Tables'!$B$31*'Tax Tables'!$B$32),0)</f>
        <v>0</v>
      </c>
      <c r="E49" s="11" t="n">
        <f aca="false">D49*Calculator!$B$7</f>
        <v>0</v>
      </c>
      <c r="F49" s="11" t="n">
        <f aca="false">D49*Calculator!$B$8</f>
        <v>0</v>
      </c>
      <c r="G49" s="11" t="n">
        <f aca="false">IF(B49&gt;0,'Tax Tables'!$B$32*MIN(MAX(B49/'Tax Tables'!$B$32*'Tax Tables'!$B$33,'Tax Tables'!$B$34),'Tax Tables'!$B$35),0)</f>
        <v>0</v>
      </c>
      <c r="H49" s="11" t="n">
        <f aca="false">Calculator!$B$5-A49-F49-G49</f>
        <v>382000</v>
      </c>
      <c r="I49" s="11" t="n">
        <f aca="false">'Tax Tables'!$B$22*(MAX(H49,0)-IF(Calculator!$B$10="Yes",MIN(MAX(H49,0),'Tax Tables'!$B$27)*'Tax Tables'!$B$28+MIN(MAX(MAX(H49,0)-'Tax Tables'!$B$27,0),'Tax Tables'!$B$29)*'Tax Tables'!$B$30,MIN(MAX(H49,0),'Tax Tables'!$B$23)*'Tax Tables'!$B$24+MIN(MAX(MAX(H49,0)-'Tax Tables'!$B$23,0),'Tax Tables'!$B$25)*'Tax Tables'!$B$26))*1-MIN('Tax Tables'!$B$22*(MAX(H49,0)-IF(Calculator!$B$10="Yes",MIN(MAX(H49,0),'Tax Tables'!$B$27)*'Tax Tables'!$B$28+MIN(MAX(MAX(H49,0)-'Tax Tables'!$B$27,0),'Tax Tables'!$B$29)*'Tax Tables'!$B$30,MIN(MAX(H49,0),'Tax Tables'!$B$23)*'Tax Tables'!$B$24+MIN(MAX(MAX(H49,0)-'Tax Tables'!$B$23,0),'Tax Tables'!$B$25)*'Tax Tables'!$B$26))*Calculator!$B$11,Calculator!$B$12)</f>
        <v>47515</v>
      </c>
      <c r="J49" s="11" t="n">
        <f aca="false">MAX(H49,0)-I49</f>
        <v>334485</v>
      </c>
      <c r="K49" s="11" t="n">
        <f aca="false">MIN(IF(A49&gt;0,Calculator!$B$13,0)+E49+Calculator!$B$14,'Tax Tables'!$B$36)</f>
        <v>1000</v>
      </c>
      <c r="L49" s="11" t="n">
        <f aca="false">MAX(A49-K49,0)</f>
        <v>17000</v>
      </c>
      <c r="M49" s="11" t="n">
        <f aca="false">SUMPRODUCT((L49&gt;'Tax Tables'!$A$5:$A$17)*(L49-'Tax Tables'!$A$5:$A$17)*'Tax Tables'!$C$5:$C$17)</f>
        <v>0</v>
      </c>
      <c r="N49" s="11" t="n">
        <f aca="false">IF(H49&lt;0,-1E+099,A49-E49-M49+J49+(E49+F49)*Calculator!$B$9)</f>
        <v>352485</v>
      </c>
      <c r="O49" s="2"/>
      <c r="P49" s="11" t="n">
        <f aca="false">36*$B$3</f>
        <v>18000</v>
      </c>
      <c r="Q49" s="11" t="n">
        <f aca="false">MIN(P49,'Tax Tables'!$B$31*'Tax Tables'!$B$32)</f>
        <v>18000</v>
      </c>
      <c r="R49" s="11" t="n">
        <f aca="false">P49-Q49</f>
        <v>0</v>
      </c>
      <c r="S49" s="11" t="n">
        <f aca="false">IF(Calculator!$B$6="Yes",MIN(Q49,'Tax Tables'!$B$31*'Tax Tables'!$B$32),0)</f>
        <v>18000</v>
      </c>
      <c r="T49" s="11" t="n">
        <f aca="false">S49*Calculator!$B$7</f>
        <v>3600</v>
      </c>
      <c r="U49" s="11" t="n">
        <f aca="false">S49*Calculator!$B$8</f>
        <v>3060</v>
      </c>
      <c r="V49" s="11" t="n">
        <f aca="false">IF(Q49&gt;0,'Tax Tables'!$B$32*MIN(MAX(Q49/'Tax Tables'!$B$32*'Tax Tables'!$B$33,'Tax Tables'!$B$34),'Tax Tables'!$B$35),0)</f>
        <v>45</v>
      </c>
      <c r="W49" s="11" t="n">
        <f aca="false">Calculator!$B$5-P49-U49-V49</f>
        <v>378895</v>
      </c>
      <c r="X49" s="11" t="n">
        <f aca="false">'Tax Tables'!$B$22*(MAX(W49,0)-IF(Calculator!$B$10="Yes",MIN(MAX(W49,0),'Tax Tables'!$B$27)*'Tax Tables'!$B$28+MIN(MAX(MAX(W49,0)-'Tax Tables'!$B$27,0),'Tax Tables'!$B$29)*'Tax Tables'!$B$30,MIN(MAX(W49,0),'Tax Tables'!$B$23)*'Tax Tables'!$B$24+MIN(MAX(MAX(W49,0)-'Tax Tables'!$B$23,0),'Tax Tables'!$B$25)*'Tax Tables'!$B$26))*1-MIN('Tax Tables'!$B$22*(MAX(W49,0)-IF(Calculator!$B$10="Yes",MIN(MAX(W49,0),'Tax Tables'!$B$27)*'Tax Tables'!$B$28+MIN(MAX(MAX(W49,0)-'Tax Tables'!$B$27,0),'Tax Tables'!$B$29)*'Tax Tables'!$B$30,MIN(MAX(W49,0),'Tax Tables'!$B$23)*'Tax Tables'!$B$24+MIN(MAX(MAX(W49,0)-'Tax Tables'!$B$23,0),'Tax Tables'!$B$25)*'Tax Tables'!$B$26))*Calculator!$B$11,Calculator!$B$12)</f>
        <v>46987.15</v>
      </c>
      <c r="Y49" s="11" t="n">
        <f aca="false">MAX(W49,0)-X49</f>
        <v>331907.85</v>
      </c>
      <c r="Z49" s="11" t="n">
        <f aca="false">MIN(IF(P49&gt;0,Calculator!$B$13,0)+T49+Calculator!$B$14,'Tax Tables'!$B$36)</f>
        <v>4600</v>
      </c>
      <c r="AA49" s="11" t="n">
        <f aca="false">MAX(P49-Z49,0)</f>
        <v>13400</v>
      </c>
      <c r="AB49" s="11" t="n">
        <f aca="false">SUMPRODUCT((AA49&gt;'Tax Tables'!$A$5:$A$17)*(AA49-'Tax Tables'!$A$5:$A$17)*'Tax Tables'!$C$5:$C$17)</f>
        <v>0</v>
      </c>
      <c r="AC49" s="11" t="n">
        <f aca="false">IF(W49&lt;0,-1E+099,P49-T49-AB49+Y49+(T49+U49)*Calculator!$B$9)</f>
        <v>352967.85</v>
      </c>
    </row>
    <row r="50" customFormat="false" ht="15" hidden="false" customHeight="false" outlineLevel="0" collapsed="false">
      <c r="A50" s="11" t="n">
        <f aca="false">37*$B$3</f>
        <v>18500</v>
      </c>
      <c r="B50" s="11" t="n">
        <f aca="false">0</f>
        <v>0</v>
      </c>
      <c r="C50" s="11" t="n">
        <f aca="false">A50-B50</f>
        <v>18500</v>
      </c>
      <c r="D50" s="11" t="n">
        <f aca="false">IF(Calculator!$B$6="Yes",MIN(B50,'Tax Tables'!$B$31*'Tax Tables'!$B$32),0)</f>
        <v>0</v>
      </c>
      <c r="E50" s="11" t="n">
        <f aca="false">D50*Calculator!$B$7</f>
        <v>0</v>
      </c>
      <c r="F50" s="11" t="n">
        <f aca="false">D50*Calculator!$B$8</f>
        <v>0</v>
      </c>
      <c r="G50" s="11" t="n">
        <f aca="false">IF(B50&gt;0,'Tax Tables'!$B$32*MIN(MAX(B50/'Tax Tables'!$B$32*'Tax Tables'!$B$33,'Tax Tables'!$B$34),'Tax Tables'!$B$35),0)</f>
        <v>0</v>
      </c>
      <c r="H50" s="11" t="n">
        <f aca="false">Calculator!$B$5-A50-F50-G50</f>
        <v>381500</v>
      </c>
      <c r="I50" s="11" t="n">
        <f aca="false">'Tax Tables'!$B$22*(MAX(H50,0)-IF(Calculator!$B$10="Yes",MIN(MAX(H50,0),'Tax Tables'!$B$27)*'Tax Tables'!$B$28+MIN(MAX(MAX(H50,0)-'Tax Tables'!$B$27,0),'Tax Tables'!$B$29)*'Tax Tables'!$B$30,MIN(MAX(H50,0),'Tax Tables'!$B$23)*'Tax Tables'!$B$24+MIN(MAX(MAX(H50,0)-'Tax Tables'!$B$23,0),'Tax Tables'!$B$25)*'Tax Tables'!$B$26))*1-MIN('Tax Tables'!$B$22*(MAX(H50,0)-IF(Calculator!$B$10="Yes",MIN(MAX(H50,0),'Tax Tables'!$B$27)*'Tax Tables'!$B$28+MIN(MAX(MAX(H50,0)-'Tax Tables'!$B$27,0),'Tax Tables'!$B$29)*'Tax Tables'!$B$30,MIN(MAX(H50,0),'Tax Tables'!$B$23)*'Tax Tables'!$B$24+MIN(MAX(MAX(H50,0)-'Tax Tables'!$B$23,0),'Tax Tables'!$B$25)*'Tax Tables'!$B$26))*Calculator!$B$11,Calculator!$B$12)</f>
        <v>47430</v>
      </c>
      <c r="J50" s="11" t="n">
        <f aca="false">MAX(H50,0)-I50</f>
        <v>334070</v>
      </c>
      <c r="K50" s="11" t="n">
        <f aca="false">MIN(IF(A50&gt;0,Calculator!$B$13,0)+E50+Calculator!$B$14,'Tax Tables'!$B$36)</f>
        <v>1000</v>
      </c>
      <c r="L50" s="11" t="n">
        <f aca="false">MAX(A50-K50,0)</f>
        <v>17500</v>
      </c>
      <c r="M50" s="11" t="n">
        <f aca="false">SUMPRODUCT((L50&gt;'Tax Tables'!$A$5:$A$17)*(L50-'Tax Tables'!$A$5:$A$17)*'Tax Tables'!$C$5:$C$17)</f>
        <v>0</v>
      </c>
      <c r="N50" s="11" t="n">
        <f aca="false">IF(H50&lt;0,-1E+099,A50-E50-M50+J50+(E50+F50)*Calculator!$B$9)</f>
        <v>352570</v>
      </c>
      <c r="O50" s="2"/>
      <c r="P50" s="11" t="n">
        <f aca="false">37*$B$3</f>
        <v>18500</v>
      </c>
      <c r="Q50" s="11" t="n">
        <f aca="false">MIN(P50,'Tax Tables'!$B$31*'Tax Tables'!$B$32)</f>
        <v>18500</v>
      </c>
      <c r="R50" s="11" t="n">
        <f aca="false">P50-Q50</f>
        <v>0</v>
      </c>
      <c r="S50" s="11" t="n">
        <f aca="false">IF(Calculator!$B$6="Yes",MIN(Q50,'Tax Tables'!$B$31*'Tax Tables'!$B$32),0)</f>
        <v>18500</v>
      </c>
      <c r="T50" s="11" t="n">
        <f aca="false">S50*Calculator!$B$7</f>
        <v>3700</v>
      </c>
      <c r="U50" s="11" t="n">
        <f aca="false">S50*Calculator!$B$8</f>
        <v>3145</v>
      </c>
      <c r="V50" s="11" t="n">
        <f aca="false">IF(Q50&gt;0,'Tax Tables'!$B$32*MIN(MAX(Q50/'Tax Tables'!$B$32*'Tax Tables'!$B$33,'Tax Tables'!$B$34),'Tax Tables'!$B$35),0)</f>
        <v>46.25</v>
      </c>
      <c r="W50" s="11" t="n">
        <f aca="false">Calculator!$B$5-P50-U50-V50</f>
        <v>378308.75</v>
      </c>
      <c r="X50" s="11" t="n">
        <f aca="false">'Tax Tables'!$B$22*(MAX(W50,0)-IF(Calculator!$B$10="Yes",MIN(MAX(W50,0),'Tax Tables'!$B$27)*'Tax Tables'!$B$28+MIN(MAX(MAX(W50,0)-'Tax Tables'!$B$27,0),'Tax Tables'!$B$29)*'Tax Tables'!$B$30,MIN(MAX(W50,0),'Tax Tables'!$B$23)*'Tax Tables'!$B$24+MIN(MAX(MAX(W50,0)-'Tax Tables'!$B$23,0),'Tax Tables'!$B$25)*'Tax Tables'!$B$26))*1-MIN('Tax Tables'!$B$22*(MAX(W50,0)-IF(Calculator!$B$10="Yes",MIN(MAX(W50,0),'Tax Tables'!$B$27)*'Tax Tables'!$B$28+MIN(MAX(MAX(W50,0)-'Tax Tables'!$B$27,0),'Tax Tables'!$B$29)*'Tax Tables'!$B$30,MIN(MAX(W50,0),'Tax Tables'!$B$23)*'Tax Tables'!$B$24+MIN(MAX(MAX(W50,0)-'Tax Tables'!$B$23,0),'Tax Tables'!$B$25)*'Tax Tables'!$B$26))*Calculator!$B$11,Calculator!$B$12)</f>
        <v>46887.4875</v>
      </c>
      <c r="Y50" s="11" t="n">
        <f aca="false">MAX(W50,0)-X50</f>
        <v>331421.2625</v>
      </c>
      <c r="Z50" s="11" t="n">
        <f aca="false">MIN(IF(P50&gt;0,Calculator!$B$13,0)+T50+Calculator!$B$14,'Tax Tables'!$B$36)</f>
        <v>4700</v>
      </c>
      <c r="AA50" s="11" t="n">
        <f aca="false">MAX(P50-Z50,0)</f>
        <v>13800</v>
      </c>
      <c r="AB50" s="11" t="n">
        <f aca="false">SUMPRODUCT((AA50&gt;'Tax Tables'!$A$5:$A$17)*(AA50-'Tax Tables'!$A$5:$A$17)*'Tax Tables'!$C$5:$C$17)</f>
        <v>0</v>
      </c>
      <c r="AC50" s="11" t="n">
        <f aca="false">IF(W50&lt;0,-1E+099,P50-T50-AB50+Y50+(T50+U50)*Calculator!$B$9)</f>
        <v>353066.2625</v>
      </c>
    </row>
    <row r="51" customFormat="false" ht="15" hidden="false" customHeight="false" outlineLevel="0" collapsed="false">
      <c r="A51" s="11" t="n">
        <f aca="false">38*$B$3</f>
        <v>19000</v>
      </c>
      <c r="B51" s="11" t="n">
        <f aca="false">0</f>
        <v>0</v>
      </c>
      <c r="C51" s="11" t="n">
        <f aca="false">A51-B51</f>
        <v>19000</v>
      </c>
      <c r="D51" s="11" t="n">
        <f aca="false">IF(Calculator!$B$6="Yes",MIN(B51,'Tax Tables'!$B$31*'Tax Tables'!$B$32),0)</f>
        <v>0</v>
      </c>
      <c r="E51" s="11" t="n">
        <f aca="false">D51*Calculator!$B$7</f>
        <v>0</v>
      </c>
      <c r="F51" s="11" t="n">
        <f aca="false">D51*Calculator!$B$8</f>
        <v>0</v>
      </c>
      <c r="G51" s="11" t="n">
        <f aca="false">IF(B51&gt;0,'Tax Tables'!$B$32*MIN(MAX(B51/'Tax Tables'!$B$32*'Tax Tables'!$B$33,'Tax Tables'!$B$34),'Tax Tables'!$B$35),0)</f>
        <v>0</v>
      </c>
      <c r="H51" s="11" t="n">
        <f aca="false">Calculator!$B$5-A51-F51-G51</f>
        <v>381000</v>
      </c>
      <c r="I51" s="11" t="n">
        <f aca="false">'Tax Tables'!$B$22*(MAX(H51,0)-IF(Calculator!$B$10="Yes",MIN(MAX(H51,0),'Tax Tables'!$B$27)*'Tax Tables'!$B$28+MIN(MAX(MAX(H51,0)-'Tax Tables'!$B$27,0),'Tax Tables'!$B$29)*'Tax Tables'!$B$30,MIN(MAX(H51,0),'Tax Tables'!$B$23)*'Tax Tables'!$B$24+MIN(MAX(MAX(H51,0)-'Tax Tables'!$B$23,0),'Tax Tables'!$B$25)*'Tax Tables'!$B$26))*1-MIN('Tax Tables'!$B$22*(MAX(H51,0)-IF(Calculator!$B$10="Yes",MIN(MAX(H51,0),'Tax Tables'!$B$27)*'Tax Tables'!$B$28+MIN(MAX(MAX(H51,0)-'Tax Tables'!$B$27,0),'Tax Tables'!$B$29)*'Tax Tables'!$B$30,MIN(MAX(H51,0),'Tax Tables'!$B$23)*'Tax Tables'!$B$24+MIN(MAX(MAX(H51,0)-'Tax Tables'!$B$23,0),'Tax Tables'!$B$25)*'Tax Tables'!$B$26))*Calculator!$B$11,Calculator!$B$12)</f>
        <v>47345</v>
      </c>
      <c r="J51" s="11" t="n">
        <f aca="false">MAX(H51,0)-I51</f>
        <v>333655</v>
      </c>
      <c r="K51" s="11" t="n">
        <f aca="false">MIN(IF(A51&gt;0,Calculator!$B$13,0)+E51+Calculator!$B$14,'Tax Tables'!$B$36)</f>
        <v>1000</v>
      </c>
      <c r="L51" s="11" t="n">
        <f aca="false">MAX(A51-K51,0)</f>
        <v>18000</v>
      </c>
      <c r="M51" s="11" t="n">
        <f aca="false">SUMPRODUCT((L51&gt;'Tax Tables'!$A$5:$A$17)*(L51-'Tax Tables'!$A$5:$A$17)*'Tax Tables'!$C$5:$C$17)</f>
        <v>0</v>
      </c>
      <c r="N51" s="11" t="n">
        <f aca="false">IF(H51&lt;0,-1E+099,A51-E51-M51+J51+(E51+F51)*Calculator!$B$9)</f>
        <v>352655</v>
      </c>
      <c r="O51" s="2"/>
      <c r="P51" s="11" t="n">
        <f aca="false">38*$B$3</f>
        <v>19000</v>
      </c>
      <c r="Q51" s="11" t="n">
        <f aca="false">MIN(P51,'Tax Tables'!$B$31*'Tax Tables'!$B$32)</f>
        <v>19000</v>
      </c>
      <c r="R51" s="11" t="n">
        <f aca="false">P51-Q51</f>
        <v>0</v>
      </c>
      <c r="S51" s="11" t="n">
        <f aca="false">IF(Calculator!$B$6="Yes",MIN(Q51,'Tax Tables'!$B$31*'Tax Tables'!$B$32),0)</f>
        <v>19000</v>
      </c>
      <c r="T51" s="11" t="n">
        <f aca="false">S51*Calculator!$B$7</f>
        <v>3800</v>
      </c>
      <c r="U51" s="11" t="n">
        <f aca="false">S51*Calculator!$B$8</f>
        <v>3230</v>
      </c>
      <c r="V51" s="11" t="n">
        <f aca="false">IF(Q51&gt;0,'Tax Tables'!$B$32*MIN(MAX(Q51/'Tax Tables'!$B$32*'Tax Tables'!$B$33,'Tax Tables'!$B$34),'Tax Tables'!$B$35),0)</f>
        <v>47.5</v>
      </c>
      <c r="W51" s="11" t="n">
        <f aca="false">Calculator!$B$5-P51-U51-V51</f>
        <v>377722.5</v>
      </c>
      <c r="X51" s="11" t="n">
        <f aca="false">'Tax Tables'!$B$22*(MAX(W51,0)-IF(Calculator!$B$10="Yes",MIN(MAX(W51,0),'Tax Tables'!$B$27)*'Tax Tables'!$B$28+MIN(MAX(MAX(W51,0)-'Tax Tables'!$B$27,0),'Tax Tables'!$B$29)*'Tax Tables'!$B$30,MIN(MAX(W51,0),'Tax Tables'!$B$23)*'Tax Tables'!$B$24+MIN(MAX(MAX(W51,0)-'Tax Tables'!$B$23,0),'Tax Tables'!$B$25)*'Tax Tables'!$B$26))*1-MIN('Tax Tables'!$B$22*(MAX(W51,0)-IF(Calculator!$B$10="Yes",MIN(MAX(W51,0),'Tax Tables'!$B$27)*'Tax Tables'!$B$28+MIN(MAX(MAX(W51,0)-'Tax Tables'!$B$27,0),'Tax Tables'!$B$29)*'Tax Tables'!$B$30,MIN(MAX(W51,0),'Tax Tables'!$B$23)*'Tax Tables'!$B$24+MIN(MAX(MAX(W51,0)-'Tax Tables'!$B$23,0),'Tax Tables'!$B$25)*'Tax Tables'!$B$26))*Calculator!$B$11,Calculator!$B$12)</f>
        <v>46787.825</v>
      </c>
      <c r="Y51" s="11" t="n">
        <f aca="false">MAX(W51,0)-X51</f>
        <v>330934.675</v>
      </c>
      <c r="Z51" s="11" t="n">
        <f aca="false">MIN(IF(P51&gt;0,Calculator!$B$13,0)+T51+Calculator!$B$14,'Tax Tables'!$B$36)</f>
        <v>4800</v>
      </c>
      <c r="AA51" s="11" t="n">
        <f aca="false">MAX(P51-Z51,0)</f>
        <v>14200</v>
      </c>
      <c r="AB51" s="11" t="n">
        <f aca="false">SUMPRODUCT((AA51&gt;'Tax Tables'!$A$5:$A$17)*(AA51-'Tax Tables'!$A$5:$A$17)*'Tax Tables'!$C$5:$C$17)</f>
        <v>0</v>
      </c>
      <c r="AC51" s="11" t="n">
        <f aca="false">IF(W51&lt;0,-1E+099,P51-T51-AB51+Y51+(T51+U51)*Calculator!$B$9)</f>
        <v>353164.675</v>
      </c>
    </row>
    <row r="52" customFormat="false" ht="15" hidden="false" customHeight="false" outlineLevel="0" collapsed="false">
      <c r="A52" s="11" t="n">
        <f aca="false">39*$B$3</f>
        <v>19500</v>
      </c>
      <c r="B52" s="11" t="n">
        <f aca="false">0</f>
        <v>0</v>
      </c>
      <c r="C52" s="11" t="n">
        <f aca="false">A52-B52</f>
        <v>19500</v>
      </c>
      <c r="D52" s="11" t="n">
        <f aca="false">IF(Calculator!$B$6="Yes",MIN(B52,'Tax Tables'!$B$31*'Tax Tables'!$B$32),0)</f>
        <v>0</v>
      </c>
      <c r="E52" s="11" t="n">
        <f aca="false">D52*Calculator!$B$7</f>
        <v>0</v>
      </c>
      <c r="F52" s="11" t="n">
        <f aca="false">D52*Calculator!$B$8</f>
        <v>0</v>
      </c>
      <c r="G52" s="11" t="n">
        <f aca="false">IF(B52&gt;0,'Tax Tables'!$B$32*MIN(MAX(B52/'Tax Tables'!$B$32*'Tax Tables'!$B$33,'Tax Tables'!$B$34),'Tax Tables'!$B$35),0)</f>
        <v>0</v>
      </c>
      <c r="H52" s="11" t="n">
        <f aca="false">Calculator!$B$5-A52-F52-G52</f>
        <v>380500</v>
      </c>
      <c r="I52" s="11" t="n">
        <f aca="false">'Tax Tables'!$B$22*(MAX(H52,0)-IF(Calculator!$B$10="Yes",MIN(MAX(H52,0),'Tax Tables'!$B$27)*'Tax Tables'!$B$28+MIN(MAX(MAX(H52,0)-'Tax Tables'!$B$27,0),'Tax Tables'!$B$29)*'Tax Tables'!$B$30,MIN(MAX(H52,0),'Tax Tables'!$B$23)*'Tax Tables'!$B$24+MIN(MAX(MAX(H52,0)-'Tax Tables'!$B$23,0),'Tax Tables'!$B$25)*'Tax Tables'!$B$26))*1-MIN('Tax Tables'!$B$22*(MAX(H52,0)-IF(Calculator!$B$10="Yes",MIN(MAX(H52,0),'Tax Tables'!$B$27)*'Tax Tables'!$B$28+MIN(MAX(MAX(H52,0)-'Tax Tables'!$B$27,0),'Tax Tables'!$B$29)*'Tax Tables'!$B$30,MIN(MAX(H52,0),'Tax Tables'!$B$23)*'Tax Tables'!$B$24+MIN(MAX(MAX(H52,0)-'Tax Tables'!$B$23,0),'Tax Tables'!$B$25)*'Tax Tables'!$B$26))*Calculator!$B$11,Calculator!$B$12)</f>
        <v>47260</v>
      </c>
      <c r="J52" s="11" t="n">
        <f aca="false">MAX(H52,0)-I52</f>
        <v>333240</v>
      </c>
      <c r="K52" s="11" t="n">
        <f aca="false">MIN(IF(A52&gt;0,Calculator!$B$13,0)+E52+Calculator!$B$14,'Tax Tables'!$B$36)</f>
        <v>1000</v>
      </c>
      <c r="L52" s="11" t="n">
        <f aca="false">MAX(A52-K52,0)</f>
        <v>18500</v>
      </c>
      <c r="M52" s="11" t="n">
        <f aca="false">SUMPRODUCT((L52&gt;'Tax Tables'!$A$5:$A$17)*(L52-'Tax Tables'!$A$5:$A$17)*'Tax Tables'!$C$5:$C$17)</f>
        <v>0</v>
      </c>
      <c r="N52" s="11" t="n">
        <f aca="false">IF(H52&lt;0,-1E+099,A52-E52-M52+J52+(E52+F52)*Calculator!$B$9)</f>
        <v>352740</v>
      </c>
      <c r="O52" s="2"/>
      <c r="P52" s="11" t="n">
        <f aca="false">39*$B$3</f>
        <v>19500</v>
      </c>
      <c r="Q52" s="11" t="n">
        <f aca="false">MIN(P52,'Tax Tables'!$B$31*'Tax Tables'!$B$32)</f>
        <v>19500</v>
      </c>
      <c r="R52" s="11" t="n">
        <f aca="false">P52-Q52</f>
        <v>0</v>
      </c>
      <c r="S52" s="11" t="n">
        <f aca="false">IF(Calculator!$B$6="Yes",MIN(Q52,'Tax Tables'!$B$31*'Tax Tables'!$B$32),0)</f>
        <v>19500</v>
      </c>
      <c r="T52" s="11" t="n">
        <f aca="false">S52*Calculator!$B$7</f>
        <v>3900</v>
      </c>
      <c r="U52" s="11" t="n">
        <f aca="false">S52*Calculator!$B$8</f>
        <v>3315</v>
      </c>
      <c r="V52" s="11" t="n">
        <f aca="false">IF(Q52&gt;0,'Tax Tables'!$B$32*MIN(MAX(Q52/'Tax Tables'!$B$32*'Tax Tables'!$B$33,'Tax Tables'!$B$34),'Tax Tables'!$B$35),0)</f>
        <v>48.75</v>
      </c>
      <c r="W52" s="11" t="n">
        <f aca="false">Calculator!$B$5-P52-U52-V52</f>
        <v>377136.25</v>
      </c>
      <c r="X52" s="11" t="n">
        <f aca="false">'Tax Tables'!$B$22*(MAX(W52,0)-IF(Calculator!$B$10="Yes",MIN(MAX(W52,0),'Tax Tables'!$B$27)*'Tax Tables'!$B$28+MIN(MAX(MAX(W52,0)-'Tax Tables'!$B$27,0),'Tax Tables'!$B$29)*'Tax Tables'!$B$30,MIN(MAX(W52,0),'Tax Tables'!$B$23)*'Tax Tables'!$B$24+MIN(MAX(MAX(W52,0)-'Tax Tables'!$B$23,0),'Tax Tables'!$B$25)*'Tax Tables'!$B$26))*1-MIN('Tax Tables'!$B$22*(MAX(W52,0)-IF(Calculator!$B$10="Yes",MIN(MAX(W52,0),'Tax Tables'!$B$27)*'Tax Tables'!$B$28+MIN(MAX(MAX(W52,0)-'Tax Tables'!$B$27,0),'Tax Tables'!$B$29)*'Tax Tables'!$B$30,MIN(MAX(W52,0),'Tax Tables'!$B$23)*'Tax Tables'!$B$24+MIN(MAX(MAX(W52,0)-'Tax Tables'!$B$23,0),'Tax Tables'!$B$25)*'Tax Tables'!$B$26))*Calculator!$B$11,Calculator!$B$12)</f>
        <v>46688.1625</v>
      </c>
      <c r="Y52" s="11" t="n">
        <f aca="false">MAX(W52,0)-X52</f>
        <v>330448.0875</v>
      </c>
      <c r="Z52" s="11" t="n">
        <f aca="false">MIN(IF(P52&gt;0,Calculator!$B$13,0)+T52+Calculator!$B$14,'Tax Tables'!$B$36)</f>
        <v>4900</v>
      </c>
      <c r="AA52" s="11" t="n">
        <f aca="false">MAX(P52-Z52,0)</f>
        <v>14600</v>
      </c>
      <c r="AB52" s="11" t="n">
        <f aca="false">SUMPRODUCT((AA52&gt;'Tax Tables'!$A$5:$A$17)*(AA52-'Tax Tables'!$A$5:$A$17)*'Tax Tables'!$C$5:$C$17)</f>
        <v>0</v>
      </c>
      <c r="AC52" s="11" t="n">
        <f aca="false">IF(W52&lt;0,-1E+099,P52-T52-AB52+Y52+(T52+U52)*Calculator!$B$9)</f>
        <v>353263.0875</v>
      </c>
    </row>
    <row r="53" customFormat="false" ht="15" hidden="false" customHeight="false" outlineLevel="0" collapsed="false">
      <c r="A53" s="11" t="n">
        <f aca="false">40*$B$3</f>
        <v>20000</v>
      </c>
      <c r="B53" s="11" t="n">
        <f aca="false">0</f>
        <v>0</v>
      </c>
      <c r="C53" s="11" t="n">
        <f aca="false">A53-B53</f>
        <v>20000</v>
      </c>
      <c r="D53" s="11" t="n">
        <f aca="false">IF(Calculator!$B$6="Yes",MIN(B53,'Tax Tables'!$B$31*'Tax Tables'!$B$32),0)</f>
        <v>0</v>
      </c>
      <c r="E53" s="11" t="n">
        <f aca="false">D53*Calculator!$B$7</f>
        <v>0</v>
      </c>
      <c r="F53" s="11" t="n">
        <f aca="false">D53*Calculator!$B$8</f>
        <v>0</v>
      </c>
      <c r="G53" s="11" t="n">
        <f aca="false">IF(B53&gt;0,'Tax Tables'!$B$32*MIN(MAX(B53/'Tax Tables'!$B$32*'Tax Tables'!$B$33,'Tax Tables'!$B$34),'Tax Tables'!$B$35),0)</f>
        <v>0</v>
      </c>
      <c r="H53" s="11" t="n">
        <f aca="false">Calculator!$B$5-A53-F53-G53</f>
        <v>380000</v>
      </c>
      <c r="I53" s="11" t="n">
        <f aca="false">'Tax Tables'!$B$22*(MAX(H53,0)-IF(Calculator!$B$10="Yes",MIN(MAX(H53,0),'Tax Tables'!$B$27)*'Tax Tables'!$B$28+MIN(MAX(MAX(H53,0)-'Tax Tables'!$B$27,0),'Tax Tables'!$B$29)*'Tax Tables'!$B$30,MIN(MAX(H53,0),'Tax Tables'!$B$23)*'Tax Tables'!$B$24+MIN(MAX(MAX(H53,0)-'Tax Tables'!$B$23,0),'Tax Tables'!$B$25)*'Tax Tables'!$B$26))*1-MIN('Tax Tables'!$B$22*(MAX(H53,0)-IF(Calculator!$B$10="Yes",MIN(MAX(H53,0),'Tax Tables'!$B$27)*'Tax Tables'!$B$28+MIN(MAX(MAX(H53,0)-'Tax Tables'!$B$27,0),'Tax Tables'!$B$29)*'Tax Tables'!$B$30,MIN(MAX(H53,0),'Tax Tables'!$B$23)*'Tax Tables'!$B$24+MIN(MAX(MAX(H53,0)-'Tax Tables'!$B$23,0),'Tax Tables'!$B$25)*'Tax Tables'!$B$26))*Calculator!$B$11,Calculator!$B$12)</f>
        <v>47175</v>
      </c>
      <c r="J53" s="11" t="n">
        <f aca="false">MAX(H53,0)-I53</f>
        <v>332825</v>
      </c>
      <c r="K53" s="11" t="n">
        <f aca="false">MIN(IF(A53&gt;0,Calculator!$B$13,0)+E53+Calculator!$B$14,'Tax Tables'!$B$36)</f>
        <v>1000</v>
      </c>
      <c r="L53" s="11" t="n">
        <f aca="false">MAX(A53-K53,0)</f>
        <v>19000</v>
      </c>
      <c r="M53" s="11" t="n">
        <f aca="false">SUMPRODUCT((L53&gt;'Tax Tables'!$A$5:$A$17)*(L53-'Tax Tables'!$A$5:$A$17)*'Tax Tables'!$C$5:$C$17)</f>
        <v>0</v>
      </c>
      <c r="N53" s="11" t="n">
        <f aca="false">IF(H53&lt;0,-1E+099,A53-E53-M53+J53+(E53+F53)*Calculator!$B$9)</f>
        <v>352825</v>
      </c>
      <c r="O53" s="2"/>
      <c r="P53" s="11" t="n">
        <f aca="false">40*$B$3</f>
        <v>20000</v>
      </c>
      <c r="Q53" s="11" t="n">
        <f aca="false">MIN(P53,'Tax Tables'!$B$31*'Tax Tables'!$B$32)</f>
        <v>20000</v>
      </c>
      <c r="R53" s="11" t="n">
        <f aca="false">P53-Q53</f>
        <v>0</v>
      </c>
      <c r="S53" s="11" t="n">
        <f aca="false">IF(Calculator!$B$6="Yes",MIN(Q53,'Tax Tables'!$B$31*'Tax Tables'!$B$32),0)</f>
        <v>20000</v>
      </c>
      <c r="T53" s="11" t="n">
        <f aca="false">S53*Calculator!$B$7</f>
        <v>4000</v>
      </c>
      <c r="U53" s="11" t="n">
        <f aca="false">S53*Calculator!$B$8</f>
        <v>3400</v>
      </c>
      <c r="V53" s="11" t="n">
        <f aca="false">IF(Q53&gt;0,'Tax Tables'!$B$32*MIN(MAX(Q53/'Tax Tables'!$B$32*'Tax Tables'!$B$33,'Tax Tables'!$B$34),'Tax Tables'!$B$35),0)</f>
        <v>50</v>
      </c>
      <c r="W53" s="11" t="n">
        <f aca="false">Calculator!$B$5-P53-U53-V53</f>
        <v>376550</v>
      </c>
      <c r="X53" s="11" t="n">
        <f aca="false">'Tax Tables'!$B$22*(MAX(W53,0)-IF(Calculator!$B$10="Yes",MIN(MAX(W53,0),'Tax Tables'!$B$27)*'Tax Tables'!$B$28+MIN(MAX(MAX(W53,0)-'Tax Tables'!$B$27,0),'Tax Tables'!$B$29)*'Tax Tables'!$B$30,MIN(MAX(W53,0),'Tax Tables'!$B$23)*'Tax Tables'!$B$24+MIN(MAX(MAX(W53,0)-'Tax Tables'!$B$23,0),'Tax Tables'!$B$25)*'Tax Tables'!$B$26))*1-MIN('Tax Tables'!$B$22*(MAX(W53,0)-IF(Calculator!$B$10="Yes",MIN(MAX(W53,0),'Tax Tables'!$B$27)*'Tax Tables'!$B$28+MIN(MAX(MAX(W53,0)-'Tax Tables'!$B$27,0),'Tax Tables'!$B$29)*'Tax Tables'!$B$30,MIN(MAX(W53,0),'Tax Tables'!$B$23)*'Tax Tables'!$B$24+MIN(MAX(MAX(W53,0)-'Tax Tables'!$B$23,0),'Tax Tables'!$B$25)*'Tax Tables'!$B$26))*Calculator!$B$11,Calculator!$B$12)</f>
        <v>46588.5</v>
      </c>
      <c r="Y53" s="11" t="n">
        <f aca="false">MAX(W53,0)-X53</f>
        <v>329961.5</v>
      </c>
      <c r="Z53" s="11" t="n">
        <f aca="false">MIN(IF(P53&gt;0,Calculator!$B$13,0)+T53+Calculator!$B$14,'Tax Tables'!$B$36)</f>
        <v>5000</v>
      </c>
      <c r="AA53" s="11" t="n">
        <f aca="false">MAX(P53-Z53,0)</f>
        <v>15000</v>
      </c>
      <c r="AB53" s="11" t="n">
        <f aca="false">SUMPRODUCT((AA53&gt;'Tax Tables'!$A$5:$A$17)*(AA53-'Tax Tables'!$A$5:$A$17)*'Tax Tables'!$C$5:$C$17)</f>
        <v>0</v>
      </c>
      <c r="AC53" s="11" t="n">
        <f aca="false">IF(W53&lt;0,-1E+099,P53-T53-AB53+Y53+(T53+U53)*Calculator!$B$9)</f>
        <v>353361.5</v>
      </c>
    </row>
    <row r="54" customFormat="false" ht="15" hidden="false" customHeight="false" outlineLevel="0" collapsed="false">
      <c r="A54" s="11" t="n">
        <f aca="false">41*$B$3</f>
        <v>20500</v>
      </c>
      <c r="B54" s="11" t="n">
        <f aca="false">0</f>
        <v>0</v>
      </c>
      <c r="C54" s="11" t="n">
        <f aca="false">A54-B54</f>
        <v>20500</v>
      </c>
      <c r="D54" s="11" t="n">
        <f aca="false">IF(Calculator!$B$6="Yes",MIN(B54,'Tax Tables'!$B$31*'Tax Tables'!$B$32),0)</f>
        <v>0</v>
      </c>
      <c r="E54" s="11" t="n">
        <f aca="false">D54*Calculator!$B$7</f>
        <v>0</v>
      </c>
      <c r="F54" s="11" t="n">
        <f aca="false">D54*Calculator!$B$8</f>
        <v>0</v>
      </c>
      <c r="G54" s="11" t="n">
        <f aca="false">IF(B54&gt;0,'Tax Tables'!$B$32*MIN(MAX(B54/'Tax Tables'!$B$32*'Tax Tables'!$B$33,'Tax Tables'!$B$34),'Tax Tables'!$B$35),0)</f>
        <v>0</v>
      </c>
      <c r="H54" s="11" t="n">
        <f aca="false">Calculator!$B$5-A54-F54-G54</f>
        <v>379500</v>
      </c>
      <c r="I54" s="11" t="n">
        <f aca="false">'Tax Tables'!$B$22*(MAX(H54,0)-IF(Calculator!$B$10="Yes",MIN(MAX(H54,0),'Tax Tables'!$B$27)*'Tax Tables'!$B$28+MIN(MAX(MAX(H54,0)-'Tax Tables'!$B$27,0),'Tax Tables'!$B$29)*'Tax Tables'!$B$30,MIN(MAX(H54,0),'Tax Tables'!$B$23)*'Tax Tables'!$B$24+MIN(MAX(MAX(H54,0)-'Tax Tables'!$B$23,0),'Tax Tables'!$B$25)*'Tax Tables'!$B$26))*1-MIN('Tax Tables'!$B$22*(MAX(H54,0)-IF(Calculator!$B$10="Yes",MIN(MAX(H54,0),'Tax Tables'!$B$27)*'Tax Tables'!$B$28+MIN(MAX(MAX(H54,0)-'Tax Tables'!$B$27,0),'Tax Tables'!$B$29)*'Tax Tables'!$B$30,MIN(MAX(H54,0),'Tax Tables'!$B$23)*'Tax Tables'!$B$24+MIN(MAX(MAX(H54,0)-'Tax Tables'!$B$23,0),'Tax Tables'!$B$25)*'Tax Tables'!$B$26))*Calculator!$B$11,Calculator!$B$12)</f>
        <v>47090</v>
      </c>
      <c r="J54" s="11" t="n">
        <f aca="false">MAX(H54,0)-I54</f>
        <v>332410</v>
      </c>
      <c r="K54" s="11" t="n">
        <f aca="false">MIN(IF(A54&gt;0,Calculator!$B$13,0)+E54+Calculator!$B$14,'Tax Tables'!$B$36)</f>
        <v>1000</v>
      </c>
      <c r="L54" s="11" t="n">
        <f aca="false">MAX(A54-K54,0)</f>
        <v>19500</v>
      </c>
      <c r="M54" s="11" t="n">
        <f aca="false">SUMPRODUCT((L54&gt;'Tax Tables'!$A$5:$A$17)*(L54-'Tax Tables'!$A$5:$A$17)*'Tax Tables'!$C$5:$C$17)</f>
        <v>0</v>
      </c>
      <c r="N54" s="11" t="n">
        <f aca="false">IF(H54&lt;0,-1E+099,A54-E54-M54+J54+(E54+F54)*Calculator!$B$9)</f>
        <v>352910</v>
      </c>
      <c r="O54" s="2"/>
      <c r="P54" s="11" t="n">
        <f aca="false">41*$B$3</f>
        <v>20500</v>
      </c>
      <c r="Q54" s="11" t="n">
        <f aca="false">MIN(P54,'Tax Tables'!$B$31*'Tax Tables'!$B$32)</f>
        <v>20500</v>
      </c>
      <c r="R54" s="11" t="n">
        <f aca="false">P54-Q54</f>
        <v>0</v>
      </c>
      <c r="S54" s="11" t="n">
        <f aca="false">IF(Calculator!$B$6="Yes",MIN(Q54,'Tax Tables'!$B$31*'Tax Tables'!$B$32),0)</f>
        <v>20500</v>
      </c>
      <c r="T54" s="11" t="n">
        <f aca="false">S54*Calculator!$B$7</f>
        <v>4100</v>
      </c>
      <c r="U54" s="11" t="n">
        <f aca="false">S54*Calculator!$B$8</f>
        <v>3485</v>
      </c>
      <c r="V54" s="11" t="n">
        <f aca="false">IF(Q54&gt;0,'Tax Tables'!$B$32*MIN(MAX(Q54/'Tax Tables'!$B$32*'Tax Tables'!$B$33,'Tax Tables'!$B$34),'Tax Tables'!$B$35),0)</f>
        <v>51.25</v>
      </c>
      <c r="W54" s="11" t="n">
        <f aca="false">Calculator!$B$5-P54-U54-V54</f>
        <v>375963.75</v>
      </c>
      <c r="X54" s="11" t="n">
        <f aca="false">'Tax Tables'!$B$22*(MAX(W54,0)-IF(Calculator!$B$10="Yes",MIN(MAX(W54,0),'Tax Tables'!$B$27)*'Tax Tables'!$B$28+MIN(MAX(MAX(W54,0)-'Tax Tables'!$B$27,0),'Tax Tables'!$B$29)*'Tax Tables'!$B$30,MIN(MAX(W54,0),'Tax Tables'!$B$23)*'Tax Tables'!$B$24+MIN(MAX(MAX(W54,0)-'Tax Tables'!$B$23,0),'Tax Tables'!$B$25)*'Tax Tables'!$B$26))*1-MIN('Tax Tables'!$B$22*(MAX(W54,0)-IF(Calculator!$B$10="Yes",MIN(MAX(W54,0),'Tax Tables'!$B$27)*'Tax Tables'!$B$28+MIN(MAX(MAX(W54,0)-'Tax Tables'!$B$27,0),'Tax Tables'!$B$29)*'Tax Tables'!$B$30,MIN(MAX(W54,0),'Tax Tables'!$B$23)*'Tax Tables'!$B$24+MIN(MAX(MAX(W54,0)-'Tax Tables'!$B$23,0),'Tax Tables'!$B$25)*'Tax Tables'!$B$26))*Calculator!$B$11,Calculator!$B$12)</f>
        <v>46488.8375</v>
      </c>
      <c r="Y54" s="11" t="n">
        <f aca="false">MAX(W54,0)-X54</f>
        <v>329474.9125</v>
      </c>
      <c r="Z54" s="11" t="n">
        <f aca="false">MIN(IF(P54&gt;0,Calculator!$B$13,0)+T54+Calculator!$B$14,'Tax Tables'!$B$36)</f>
        <v>5100</v>
      </c>
      <c r="AA54" s="11" t="n">
        <f aca="false">MAX(P54-Z54,0)</f>
        <v>15400</v>
      </c>
      <c r="AB54" s="11" t="n">
        <f aca="false">SUMPRODUCT((AA54&gt;'Tax Tables'!$A$5:$A$17)*(AA54-'Tax Tables'!$A$5:$A$17)*'Tax Tables'!$C$5:$C$17)</f>
        <v>0</v>
      </c>
      <c r="AC54" s="11" t="n">
        <f aca="false">IF(W54&lt;0,-1E+099,P54-T54-AB54+Y54+(T54+U54)*Calculator!$B$9)</f>
        <v>353459.9125</v>
      </c>
    </row>
    <row r="55" customFormat="false" ht="15" hidden="false" customHeight="false" outlineLevel="0" collapsed="false">
      <c r="A55" s="11" t="n">
        <f aca="false">42*$B$3</f>
        <v>21000</v>
      </c>
      <c r="B55" s="11" t="n">
        <f aca="false">0</f>
        <v>0</v>
      </c>
      <c r="C55" s="11" t="n">
        <f aca="false">A55-B55</f>
        <v>21000</v>
      </c>
      <c r="D55" s="11" t="n">
        <f aca="false">IF(Calculator!$B$6="Yes",MIN(B55,'Tax Tables'!$B$31*'Tax Tables'!$B$32),0)</f>
        <v>0</v>
      </c>
      <c r="E55" s="11" t="n">
        <f aca="false">D55*Calculator!$B$7</f>
        <v>0</v>
      </c>
      <c r="F55" s="11" t="n">
        <f aca="false">D55*Calculator!$B$8</f>
        <v>0</v>
      </c>
      <c r="G55" s="11" t="n">
        <f aca="false">IF(B55&gt;0,'Tax Tables'!$B$32*MIN(MAX(B55/'Tax Tables'!$B$32*'Tax Tables'!$B$33,'Tax Tables'!$B$34),'Tax Tables'!$B$35),0)</f>
        <v>0</v>
      </c>
      <c r="H55" s="11" t="n">
        <f aca="false">Calculator!$B$5-A55-F55-G55</f>
        <v>379000</v>
      </c>
      <c r="I55" s="11" t="n">
        <f aca="false">'Tax Tables'!$B$22*(MAX(H55,0)-IF(Calculator!$B$10="Yes",MIN(MAX(H55,0),'Tax Tables'!$B$27)*'Tax Tables'!$B$28+MIN(MAX(MAX(H55,0)-'Tax Tables'!$B$27,0),'Tax Tables'!$B$29)*'Tax Tables'!$B$30,MIN(MAX(H55,0),'Tax Tables'!$B$23)*'Tax Tables'!$B$24+MIN(MAX(MAX(H55,0)-'Tax Tables'!$B$23,0),'Tax Tables'!$B$25)*'Tax Tables'!$B$26))*1-MIN('Tax Tables'!$B$22*(MAX(H55,0)-IF(Calculator!$B$10="Yes",MIN(MAX(H55,0),'Tax Tables'!$B$27)*'Tax Tables'!$B$28+MIN(MAX(MAX(H55,0)-'Tax Tables'!$B$27,0),'Tax Tables'!$B$29)*'Tax Tables'!$B$30,MIN(MAX(H55,0),'Tax Tables'!$B$23)*'Tax Tables'!$B$24+MIN(MAX(MAX(H55,0)-'Tax Tables'!$B$23,0),'Tax Tables'!$B$25)*'Tax Tables'!$B$26))*Calculator!$B$11,Calculator!$B$12)</f>
        <v>47005</v>
      </c>
      <c r="J55" s="11" t="n">
        <f aca="false">MAX(H55,0)-I55</f>
        <v>331995</v>
      </c>
      <c r="K55" s="11" t="n">
        <f aca="false">MIN(IF(A55&gt;0,Calculator!$B$13,0)+E55+Calculator!$B$14,'Tax Tables'!$B$36)</f>
        <v>1000</v>
      </c>
      <c r="L55" s="11" t="n">
        <f aca="false">MAX(A55-K55,0)</f>
        <v>20000</v>
      </c>
      <c r="M55" s="11" t="n">
        <f aca="false">SUMPRODUCT((L55&gt;'Tax Tables'!$A$5:$A$17)*(L55-'Tax Tables'!$A$5:$A$17)*'Tax Tables'!$C$5:$C$17)</f>
        <v>0</v>
      </c>
      <c r="N55" s="11" t="n">
        <f aca="false">IF(H55&lt;0,-1E+099,A55-E55-M55+J55+(E55+F55)*Calculator!$B$9)</f>
        <v>352995</v>
      </c>
      <c r="O55" s="2"/>
      <c r="P55" s="11" t="n">
        <f aca="false">42*$B$3</f>
        <v>21000</v>
      </c>
      <c r="Q55" s="11" t="n">
        <f aca="false">MIN(P55,'Tax Tables'!$B$31*'Tax Tables'!$B$32)</f>
        <v>21000</v>
      </c>
      <c r="R55" s="11" t="n">
        <f aca="false">P55-Q55</f>
        <v>0</v>
      </c>
      <c r="S55" s="11" t="n">
        <f aca="false">IF(Calculator!$B$6="Yes",MIN(Q55,'Tax Tables'!$B$31*'Tax Tables'!$B$32),0)</f>
        <v>21000</v>
      </c>
      <c r="T55" s="11" t="n">
        <f aca="false">S55*Calculator!$B$7</f>
        <v>4200</v>
      </c>
      <c r="U55" s="11" t="n">
        <f aca="false">S55*Calculator!$B$8</f>
        <v>3570</v>
      </c>
      <c r="V55" s="11" t="n">
        <f aca="false">IF(Q55&gt;0,'Tax Tables'!$B$32*MIN(MAX(Q55/'Tax Tables'!$B$32*'Tax Tables'!$B$33,'Tax Tables'!$B$34),'Tax Tables'!$B$35),0)</f>
        <v>52.5</v>
      </c>
      <c r="W55" s="11" t="n">
        <f aca="false">Calculator!$B$5-P55-U55-V55</f>
        <v>375377.5</v>
      </c>
      <c r="X55" s="11" t="n">
        <f aca="false">'Tax Tables'!$B$22*(MAX(W55,0)-IF(Calculator!$B$10="Yes",MIN(MAX(W55,0),'Tax Tables'!$B$27)*'Tax Tables'!$B$28+MIN(MAX(MAX(W55,0)-'Tax Tables'!$B$27,0),'Tax Tables'!$B$29)*'Tax Tables'!$B$30,MIN(MAX(W55,0),'Tax Tables'!$B$23)*'Tax Tables'!$B$24+MIN(MAX(MAX(W55,0)-'Tax Tables'!$B$23,0),'Tax Tables'!$B$25)*'Tax Tables'!$B$26))*1-MIN('Tax Tables'!$B$22*(MAX(W55,0)-IF(Calculator!$B$10="Yes",MIN(MAX(W55,0),'Tax Tables'!$B$27)*'Tax Tables'!$B$28+MIN(MAX(MAX(W55,0)-'Tax Tables'!$B$27,0),'Tax Tables'!$B$29)*'Tax Tables'!$B$30,MIN(MAX(W55,0),'Tax Tables'!$B$23)*'Tax Tables'!$B$24+MIN(MAX(MAX(W55,0)-'Tax Tables'!$B$23,0),'Tax Tables'!$B$25)*'Tax Tables'!$B$26))*Calculator!$B$11,Calculator!$B$12)</f>
        <v>46389.175</v>
      </c>
      <c r="Y55" s="11" t="n">
        <f aca="false">MAX(W55,0)-X55</f>
        <v>328988.325</v>
      </c>
      <c r="Z55" s="11" t="n">
        <f aca="false">MIN(IF(P55&gt;0,Calculator!$B$13,0)+T55+Calculator!$B$14,'Tax Tables'!$B$36)</f>
        <v>5200</v>
      </c>
      <c r="AA55" s="11" t="n">
        <f aca="false">MAX(P55-Z55,0)</f>
        <v>15800</v>
      </c>
      <c r="AB55" s="11" t="n">
        <f aca="false">SUMPRODUCT((AA55&gt;'Tax Tables'!$A$5:$A$17)*(AA55-'Tax Tables'!$A$5:$A$17)*'Tax Tables'!$C$5:$C$17)</f>
        <v>0</v>
      </c>
      <c r="AC55" s="11" t="n">
        <f aca="false">IF(W55&lt;0,-1E+099,P55-T55-AB55+Y55+(T55+U55)*Calculator!$B$9)</f>
        <v>353558.325</v>
      </c>
    </row>
    <row r="56" customFormat="false" ht="15" hidden="false" customHeight="false" outlineLevel="0" collapsed="false">
      <c r="A56" s="11" t="n">
        <f aca="false">43*$B$3</f>
        <v>21500</v>
      </c>
      <c r="B56" s="11" t="n">
        <f aca="false">0</f>
        <v>0</v>
      </c>
      <c r="C56" s="11" t="n">
        <f aca="false">A56-B56</f>
        <v>21500</v>
      </c>
      <c r="D56" s="11" t="n">
        <f aca="false">IF(Calculator!$B$6="Yes",MIN(B56,'Tax Tables'!$B$31*'Tax Tables'!$B$32),0)</f>
        <v>0</v>
      </c>
      <c r="E56" s="11" t="n">
        <f aca="false">D56*Calculator!$B$7</f>
        <v>0</v>
      </c>
      <c r="F56" s="11" t="n">
        <f aca="false">D56*Calculator!$B$8</f>
        <v>0</v>
      </c>
      <c r="G56" s="11" t="n">
        <f aca="false">IF(B56&gt;0,'Tax Tables'!$B$32*MIN(MAX(B56/'Tax Tables'!$B$32*'Tax Tables'!$B$33,'Tax Tables'!$B$34),'Tax Tables'!$B$35),0)</f>
        <v>0</v>
      </c>
      <c r="H56" s="11" t="n">
        <f aca="false">Calculator!$B$5-A56-F56-G56</f>
        <v>378500</v>
      </c>
      <c r="I56" s="11" t="n">
        <f aca="false">'Tax Tables'!$B$22*(MAX(H56,0)-IF(Calculator!$B$10="Yes",MIN(MAX(H56,0),'Tax Tables'!$B$27)*'Tax Tables'!$B$28+MIN(MAX(MAX(H56,0)-'Tax Tables'!$B$27,0),'Tax Tables'!$B$29)*'Tax Tables'!$B$30,MIN(MAX(H56,0),'Tax Tables'!$B$23)*'Tax Tables'!$B$24+MIN(MAX(MAX(H56,0)-'Tax Tables'!$B$23,0),'Tax Tables'!$B$25)*'Tax Tables'!$B$26))*1-MIN('Tax Tables'!$B$22*(MAX(H56,0)-IF(Calculator!$B$10="Yes",MIN(MAX(H56,0),'Tax Tables'!$B$27)*'Tax Tables'!$B$28+MIN(MAX(MAX(H56,0)-'Tax Tables'!$B$27,0),'Tax Tables'!$B$29)*'Tax Tables'!$B$30,MIN(MAX(H56,0),'Tax Tables'!$B$23)*'Tax Tables'!$B$24+MIN(MAX(MAX(H56,0)-'Tax Tables'!$B$23,0),'Tax Tables'!$B$25)*'Tax Tables'!$B$26))*Calculator!$B$11,Calculator!$B$12)</f>
        <v>46920</v>
      </c>
      <c r="J56" s="11" t="n">
        <f aca="false">MAX(H56,0)-I56</f>
        <v>331580</v>
      </c>
      <c r="K56" s="11" t="n">
        <f aca="false">MIN(IF(A56&gt;0,Calculator!$B$13,0)+E56+Calculator!$B$14,'Tax Tables'!$B$36)</f>
        <v>1000</v>
      </c>
      <c r="L56" s="11" t="n">
        <f aca="false">MAX(A56-K56,0)</f>
        <v>20500</v>
      </c>
      <c r="M56" s="11" t="n">
        <f aca="false">SUMPRODUCT((L56&gt;'Tax Tables'!$A$5:$A$17)*(L56-'Tax Tables'!$A$5:$A$17)*'Tax Tables'!$C$5:$C$17)</f>
        <v>10</v>
      </c>
      <c r="N56" s="11" t="n">
        <f aca="false">IF(H56&lt;0,-1E+099,A56-E56-M56+J56+(E56+F56)*Calculator!$B$9)</f>
        <v>353070</v>
      </c>
      <c r="O56" s="2"/>
      <c r="P56" s="11" t="n">
        <f aca="false">43*$B$3</f>
        <v>21500</v>
      </c>
      <c r="Q56" s="11" t="n">
        <f aca="false">MIN(P56,'Tax Tables'!$B$31*'Tax Tables'!$B$32)</f>
        <v>21500</v>
      </c>
      <c r="R56" s="11" t="n">
        <f aca="false">P56-Q56</f>
        <v>0</v>
      </c>
      <c r="S56" s="11" t="n">
        <f aca="false">IF(Calculator!$B$6="Yes",MIN(Q56,'Tax Tables'!$B$31*'Tax Tables'!$B$32),0)</f>
        <v>21500</v>
      </c>
      <c r="T56" s="11" t="n">
        <f aca="false">S56*Calculator!$B$7</f>
        <v>4300</v>
      </c>
      <c r="U56" s="11" t="n">
        <f aca="false">S56*Calculator!$B$8</f>
        <v>3655</v>
      </c>
      <c r="V56" s="11" t="n">
        <f aca="false">IF(Q56&gt;0,'Tax Tables'!$B$32*MIN(MAX(Q56/'Tax Tables'!$B$32*'Tax Tables'!$B$33,'Tax Tables'!$B$34),'Tax Tables'!$B$35),0)</f>
        <v>53.75</v>
      </c>
      <c r="W56" s="11" t="n">
        <f aca="false">Calculator!$B$5-P56-U56-V56</f>
        <v>374791.25</v>
      </c>
      <c r="X56" s="11" t="n">
        <f aca="false">'Tax Tables'!$B$22*(MAX(W56,0)-IF(Calculator!$B$10="Yes",MIN(MAX(W56,0),'Tax Tables'!$B$27)*'Tax Tables'!$B$28+MIN(MAX(MAX(W56,0)-'Tax Tables'!$B$27,0),'Tax Tables'!$B$29)*'Tax Tables'!$B$30,MIN(MAX(W56,0),'Tax Tables'!$B$23)*'Tax Tables'!$B$24+MIN(MAX(MAX(W56,0)-'Tax Tables'!$B$23,0),'Tax Tables'!$B$25)*'Tax Tables'!$B$26))*1-MIN('Tax Tables'!$B$22*(MAX(W56,0)-IF(Calculator!$B$10="Yes",MIN(MAX(W56,0),'Tax Tables'!$B$27)*'Tax Tables'!$B$28+MIN(MAX(MAX(W56,0)-'Tax Tables'!$B$27,0),'Tax Tables'!$B$29)*'Tax Tables'!$B$30,MIN(MAX(W56,0),'Tax Tables'!$B$23)*'Tax Tables'!$B$24+MIN(MAX(MAX(W56,0)-'Tax Tables'!$B$23,0),'Tax Tables'!$B$25)*'Tax Tables'!$B$26))*Calculator!$B$11,Calculator!$B$12)</f>
        <v>46289.5125</v>
      </c>
      <c r="Y56" s="11" t="n">
        <f aca="false">MAX(W56,0)-X56</f>
        <v>328501.7375</v>
      </c>
      <c r="Z56" s="11" t="n">
        <f aca="false">MIN(IF(P56&gt;0,Calculator!$B$13,0)+T56+Calculator!$B$14,'Tax Tables'!$B$36)</f>
        <v>5300</v>
      </c>
      <c r="AA56" s="11" t="n">
        <f aca="false">MAX(P56-Z56,0)</f>
        <v>16200</v>
      </c>
      <c r="AB56" s="11" t="n">
        <f aca="false">SUMPRODUCT((AA56&gt;'Tax Tables'!$A$5:$A$17)*(AA56-'Tax Tables'!$A$5:$A$17)*'Tax Tables'!$C$5:$C$17)</f>
        <v>0</v>
      </c>
      <c r="AC56" s="11" t="n">
        <f aca="false">IF(W56&lt;0,-1E+099,P56-T56-AB56+Y56+(T56+U56)*Calculator!$B$9)</f>
        <v>353656.7375</v>
      </c>
    </row>
    <row r="57" customFormat="false" ht="15" hidden="false" customHeight="false" outlineLevel="0" collapsed="false">
      <c r="A57" s="11" t="n">
        <f aca="false">44*$B$3</f>
        <v>22000</v>
      </c>
      <c r="B57" s="11" t="n">
        <f aca="false">0</f>
        <v>0</v>
      </c>
      <c r="C57" s="11" t="n">
        <f aca="false">A57-B57</f>
        <v>22000</v>
      </c>
      <c r="D57" s="11" t="n">
        <f aca="false">IF(Calculator!$B$6="Yes",MIN(B57,'Tax Tables'!$B$31*'Tax Tables'!$B$32),0)</f>
        <v>0</v>
      </c>
      <c r="E57" s="11" t="n">
        <f aca="false">D57*Calculator!$B$7</f>
        <v>0</v>
      </c>
      <c r="F57" s="11" t="n">
        <f aca="false">D57*Calculator!$B$8</f>
        <v>0</v>
      </c>
      <c r="G57" s="11" t="n">
        <f aca="false">IF(B57&gt;0,'Tax Tables'!$B$32*MIN(MAX(B57/'Tax Tables'!$B$32*'Tax Tables'!$B$33,'Tax Tables'!$B$34),'Tax Tables'!$B$35),0)</f>
        <v>0</v>
      </c>
      <c r="H57" s="11" t="n">
        <f aca="false">Calculator!$B$5-A57-F57-G57</f>
        <v>378000</v>
      </c>
      <c r="I57" s="11" t="n">
        <f aca="false">'Tax Tables'!$B$22*(MAX(H57,0)-IF(Calculator!$B$10="Yes",MIN(MAX(H57,0),'Tax Tables'!$B$27)*'Tax Tables'!$B$28+MIN(MAX(MAX(H57,0)-'Tax Tables'!$B$27,0),'Tax Tables'!$B$29)*'Tax Tables'!$B$30,MIN(MAX(H57,0),'Tax Tables'!$B$23)*'Tax Tables'!$B$24+MIN(MAX(MAX(H57,0)-'Tax Tables'!$B$23,0),'Tax Tables'!$B$25)*'Tax Tables'!$B$26))*1-MIN('Tax Tables'!$B$22*(MAX(H57,0)-IF(Calculator!$B$10="Yes",MIN(MAX(H57,0),'Tax Tables'!$B$27)*'Tax Tables'!$B$28+MIN(MAX(MAX(H57,0)-'Tax Tables'!$B$27,0),'Tax Tables'!$B$29)*'Tax Tables'!$B$30,MIN(MAX(H57,0),'Tax Tables'!$B$23)*'Tax Tables'!$B$24+MIN(MAX(MAX(H57,0)-'Tax Tables'!$B$23,0),'Tax Tables'!$B$25)*'Tax Tables'!$B$26))*Calculator!$B$11,Calculator!$B$12)</f>
        <v>46835</v>
      </c>
      <c r="J57" s="11" t="n">
        <f aca="false">MAX(H57,0)-I57</f>
        <v>331165</v>
      </c>
      <c r="K57" s="11" t="n">
        <f aca="false">MIN(IF(A57&gt;0,Calculator!$B$13,0)+E57+Calculator!$B$14,'Tax Tables'!$B$36)</f>
        <v>1000</v>
      </c>
      <c r="L57" s="11" t="n">
        <f aca="false">MAX(A57-K57,0)</f>
        <v>21000</v>
      </c>
      <c r="M57" s="11" t="n">
        <f aca="false">SUMPRODUCT((L57&gt;'Tax Tables'!$A$5:$A$17)*(L57-'Tax Tables'!$A$5:$A$17)*'Tax Tables'!$C$5:$C$17)</f>
        <v>20</v>
      </c>
      <c r="N57" s="11" t="n">
        <f aca="false">IF(H57&lt;0,-1E+099,A57-E57-M57+J57+(E57+F57)*Calculator!$B$9)</f>
        <v>353145</v>
      </c>
      <c r="O57" s="2"/>
      <c r="P57" s="11" t="n">
        <f aca="false">44*$B$3</f>
        <v>22000</v>
      </c>
      <c r="Q57" s="11" t="n">
        <f aca="false">MIN(P57,'Tax Tables'!$B$31*'Tax Tables'!$B$32)</f>
        <v>22000</v>
      </c>
      <c r="R57" s="11" t="n">
        <f aca="false">P57-Q57</f>
        <v>0</v>
      </c>
      <c r="S57" s="11" t="n">
        <f aca="false">IF(Calculator!$B$6="Yes",MIN(Q57,'Tax Tables'!$B$31*'Tax Tables'!$B$32),0)</f>
        <v>22000</v>
      </c>
      <c r="T57" s="11" t="n">
        <f aca="false">S57*Calculator!$B$7</f>
        <v>4400</v>
      </c>
      <c r="U57" s="11" t="n">
        <f aca="false">S57*Calculator!$B$8</f>
        <v>3740</v>
      </c>
      <c r="V57" s="11" t="n">
        <f aca="false">IF(Q57&gt;0,'Tax Tables'!$B$32*MIN(MAX(Q57/'Tax Tables'!$B$32*'Tax Tables'!$B$33,'Tax Tables'!$B$34),'Tax Tables'!$B$35),0)</f>
        <v>55</v>
      </c>
      <c r="W57" s="11" t="n">
        <f aca="false">Calculator!$B$5-P57-U57-V57</f>
        <v>374205</v>
      </c>
      <c r="X57" s="11" t="n">
        <f aca="false">'Tax Tables'!$B$22*(MAX(W57,0)-IF(Calculator!$B$10="Yes",MIN(MAX(W57,0),'Tax Tables'!$B$27)*'Tax Tables'!$B$28+MIN(MAX(MAX(W57,0)-'Tax Tables'!$B$27,0),'Tax Tables'!$B$29)*'Tax Tables'!$B$30,MIN(MAX(W57,0),'Tax Tables'!$B$23)*'Tax Tables'!$B$24+MIN(MAX(MAX(W57,0)-'Tax Tables'!$B$23,0),'Tax Tables'!$B$25)*'Tax Tables'!$B$26))*1-MIN('Tax Tables'!$B$22*(MAX(W57,0)-IF(Calculator!$B$10="Yes",MIN(MAX(W57,0),'Tax Tables'!$B$27)*'Tax Tables'!$B$28+MIN(MAX(MAX(W57,0)-'Tax Tables'!$B$27,0),'Tax Tables'!$B$29)*'Tax Tables'!$B$30,MIN(MAX(W57,0),'Tax Tables'!$B$23)*'Tax Tables'!$B$24+MIN(MAX(MAX(W57,0)-'Tax Tables'!$B$23,0),'Tax Tables'!$B$25)*'Tax Tables'!$B$26))*Calculator!$B$11,Calculator!$B$12)</f>
        <v>46189.85</v>
      </c>
      <c r="Y57" s="11" t="n">
        <f aca="false">MAX(W57,0)-X57</f>
        <v>328015.15</v>
      </c>
      <c r="Z57" s="11" t="n">
        <f aca="false">MIN(IF(P57&gt;0,Calculator!$B$13,0)+T57+Calculator!$B$14,'Tax Tables'!$B$36)</f>
        <v>5400</v>
      </c>
      <c r="AA57" s="11" t="n">
        <f aca="false">MAX(P57-Z57,0)</f>
        <v>16600</v>
      </c>
      <c r="AB57" s="11" t="n">
        <f aca="false">SUMPRODUCT((AA57&gt;'Tax Tables'!$A$5:$A$17)*(AA57-'Tax Tables'!$A$5:$A$17)*'Tax Tables'!$C$5:$C$17)</f>
        <v>0</v>
      </c>
      <c r="AC57" s="11" t="n">
        <f aca="false">IF(W57&lt;0,-1E+099,P57-T57-AB57+Y57+(T57+U57)*Calculator!$B$9)</f>
        <v>353755.15</v>
      </c>
    </row>
    <row r="58" customFormat="false" ht="15" hidden="false" customHeight="false" outlineLevel="0" collapsed="false">
      <c r="A58" s="11" t="n">
        <f aca="false">45*$B$3</f>
        <v>22500</v>
      </c>
      <c r="B58" s="11" t="n">
        <f aca="false">0</f>
        <v>0</v>
      </c>
      <c r="C58" s="11" t="n">
        <f aca="false">A58-B58</f>
        <v>22500</v>
      </c>
      <c r="D58" s="11" t="n">
        <f aca="false">IF(Calculator!$B$6="Yes",MIN(B58,'Tax Tables'!$B$31*'Tax Tables'!$B$32),0)</f>
        <v>0</v>
      </c>
      <c r="E58" s="11" t="n">
        <f aca="false">D58*Calculator!$B$7</f>
        <v>0</v>
      </c>
      <c r="F58" s="11" t="n">
        <f aca="false">D58*Calculator!$B$8</f>
        <v>0</v>
      </c>
      <c r="G58" s="11" t="n">
        <f aca="false">IF(B58&gt;0,'Tax Tables'!$B$32*MIN(MAX(B58/'Tax Tables'!$B$32*'Tax Tables'!$B$33,'Tax Tables'!$B$34),'Tax Tables'!$B$35),0)</f>
        <v>0</v>
      </c>
      <c r="H58" s="11" t="n">
        <f aca="false">Calculator!$B$5-A58-F58-G58</f>
        <v>377500</v>
      </c>
      <c r="I58" s="11" t="n">
        <f aca="false">'Tax Tables'!$B$22*(MAX(H58,0)-IF(Calculator!$B$10="Yes",MIN(MAX(H58,0),'Tax Tables'!$B$27)*'Tax Tables'!$B$28+MIN(MAX(MAX(H58,0)-'Tax Tables'!$B$27,0),'Tax Tables'!$B$29)*'Tax Tables'!$B$30,MIN(MAX(H58,0),'Tax Tables'!$B$23)*'Tax Tables'!$B$24+MIN(MAX(MAX(H58,0)-'Tax Tables'!$B$23,0),'Tax Tables'!$B$25)*'Tax Tables'!$B$26))*1-MIN('Tax Tables'!$B$22*(MAX(H58,0)-IF(Calculator!$B$10="Yes",MIN(MAX(H58,0),'Tax Tables'!$B$27)*'Tax Tables'!$B$28+MIN(MAX(MAX(H58,0)-'Tax Tables'!$B$27,0),'Tax Tables'!$B$29)*'Tax Tables'!$B$30,MIN(MAX(H58,0),'Tax Tables'!$B$23)*'Tax Tables'!$B$24+MIN(MAX(MAX(H58,0)-'Tax Tables'!$B$23,0),'Tax Tables'!$B$25)*'Tax Tables'!$B$26))*Calculator!$B$11,Calculator!$B$12)</f>
        <v>46750</v>
      </c>
      <c r="J58" s="11" t="n">
        <f aca="false">MAX(H58,0)-I58</f>
        <v>330750</v>
      </c>
      <c r="K58" s="11" t="n">
        <f aca="false">MIN(IF(A58&gt;0,Calculator!$B$13,0)+E58+Calculator!$B$14,'Tax Tables'!$B$36)</f>
        <v>1000</v>
      </c>
      <c r="L58" s="11" t="n">
        <f aca="false">MAX(A58-K58,0)</f>
        <v>21500</v>
      </c>
      <c r="M58" s="11" t="n">
        <f aca="false">SUMPRODUCT((L58&gt;'Tax Tables'!$A$5:$A$17)*(L58-'Tax Tables'!$A$5:$A$17)*'Tax Tables'!$C$5:$C$17)</f>
        <v>30</v>
      </c>
      <c r="N58" s="11" t="n">
        <f aca="false">IF(H58&lt;0,-1E+099,A58-E58-M58+J58+(E58+F58)*Calculator!$B$9)</f>
        <v>353220</v>
      </c>
      <c r="O58" s="2"/>
      <c r="P58" s="11" t="n">
        <f aca="false">45*$B$3</f>
        <v>22500</v>
      </c>
      <c r="Q58" s="11" t="n">
        <f aca="false">MIN(P58,'Tax Tables'!$B$31*'Tax Tables'!$B$32)</f>
        <v>22500</v>
      </c>
      <c r="R58" s="11" t="n">
        <f aca="false">P58-Q58</f>
        <v>0</v>
      </c>
      <c r="S58" s="11" t="n">
        <f aca="false">IF(Calculator!$B$6="Yes",MIN(Q58,'Tax Tables'!$B$31*'Tax Tables'!$B$32),0)</f>
        <v>22500</v>
      </c>
      <c r="T58" s="11" t="n">
        <f aca="false">S58*Calculator!$B$7</f>
        <v>4500</v>
      </c>
      <c r="U58" s="11" t="n">
        <f aca="false">S58*Calculator!$B$8</f>
        <v>3825</v>
      </c>
      <c r="V58" s="11" t="n">
        <f aca="false">IF(Q58&gt;0,'Tax Tables'!$B$32*MIN(MAX(Q58/'Tax Tables'!$B$32*'Tax Tables'!$B$33,'Tax Tables'!$B$34),'Tax Tables'!$B$35),0)</f>
        <v>56.25</v>
      </c>
      <c r="W58" s="11" t="n">
        <f aca="false">Calculator!$B$5-P58-U58-V58</f>
        <v>373618.75</v>
      </c>
      <c r="X58" s="11" t="n">
        <f aca="false">'Tax Tables'!$B$22*(MAX(W58,0)-IF(Calculator!$B$10="Yes",MIN(MAX(W58,0),'Tax Tables'!$B$27)*'Tax Tables'!$B$28+MIN(MAX(MAX(W58,0)-'Tax Tables'!$B$27,0),'Tax Tables'!$B$29)*'Tax Tables'!$B$30,MIN(MAX(W58,0),'Tax Tables'!$B$23)*'Tax Tables'!$B$24+MIN(MAX(MAX(W58,0)-'Tax Tables'!$B$23,0),'Tax Tables'!$B$25)*'Tax Tables'!$B$26))*1-MIN('Tax Tables'!$B$22*(MAX(W58,0)-IF(Calculator!$B$10="Yes",MIN(MAX(W58,0),'Tax Tables'!$B$27)*'Tax Tables'!$B$28+MIN(MAX(MAX(W58,0)-'Tax Tables'!$B$27,0),'Tax Tables'!$B$29)*'Tax Tables'!$B$30,MIN(MAX(W58,0),'Tax Tables'!$B$23)*'Tax Tables'!$B$24+MIN(MAX(MAX(W58,0)-'Tax Tables'!$B$23,0),'Tax Tables'!$B$25)*'Tax Tables'!$B$26))*Calculator!$B$11,Calculator!$B$12)</f>
        <v>46090.1875</v>
      </c>
      <c r="Y58" s="11" t="n">
        <f aca="false">MAX(W58,0)-X58</f>
        <v>327528.5625</v>
      </c>
      <c r="Z58" s="11" t="n">
        <f aca="false">MIN(IF(P58&gt;0,Calculator!$B$13,0)+T58+Calculator!$B$14,'Tax Tables'!$B$36)</f>
        <v>5500</v>
      </c>
      <c r="AA58" s="11" t="n">
        <f aca="false">MAX(P58-Z58,0)</f>
        <v>17000</v>
      </c>
      <c r="AB58" s="11" t="n">
        <f aca="false">SUMPRODUCT((AA58&gt;'Tax Tables'!$A$5:$A$17)*(AA58-'Tax Tables'!$A$5:$A$17)*'Tax Tables'!$C$5:$C$17)</f>
        <v>0</v>
      </c>
      <c r="AC58" s="11" t="n">
        <f aca="false">IF(W58&lt;0,-1E+099,P58-T58-AB58+Y58+(T58+U58)*Calculator!$B$9)</f>
        <v>353853.5625</v>
      </c>
    </row>
    <row r="59" customFormat="false" ht="15" hidden="false" customHeight="false" outlineLevel="0" collapsed="false">
      <c r="A59" s="11" t="n">
        <f aca="false">46*$B$3</f>
        <v>23000</v>
      </c>
      <c r="B59" s="11" t="n">
        <f aca="false">0</f>
        <v>0</v>
      </c>
      <c r="C59" s="11" t="n">
        <f aca="false">A59-B59</f>
        <v>23000</v>
      </c>
      <c r="D59" s="11" t="n">
        <f aca="false">IF(Calculator!$B$6="Yes",MIN(B59,'Tax Tables'!$B$31*'Tax Tables'!$B$32),0)</f>
        <v>0</v>
      </c>
      <c r="E59" s="11" t="n">
        <f aca="false">D59*Calculator!$B$7</f>
        <v>0</v>
      </c>
      <c r="F59" s="11" t="n">
        <f aca="false">D59*Calculator!$B$8</f>
        <v>0</v>
      </c>
      <c r="G59" s="11" t="n">
        <f aca="false">IF(B59&gt;0,'Tax Tables'!$B$32*MIN(MAX(B59/'Tax Tables'!$B$32*'Tax Tables'!$B$33,'Tax Tables'!$B$34),'Tax Tables'!$B$35),0)</f>
        <v>0</v>
      </c>
      <c r="H59" s="11" t="n">
        <f aca="false">Calculator!$B$5-A59-F59-G59</f>
        <v>377000</v>
      </c>
      <c r="I59" s="11" t="n">
        <f aca="false">'Tax Tables'!$B$22*(MAX(H59,0)-IF(Calculator!$B$10="Yes",MIN(MAX(H59,0),'Tax Tables'!$B$27)*'Tax Tables'!$B$28+MIN(MAX(MAX(H59,0)-'Tax Tables'!$B$27,0),'Tax Tables'!$B$29)*'Tax Tables'!$B$30,MIN(MAX(H59,0),'Tax Tables'!$B$23)*'Tax Tables'!$B$24+MIN(MAX(MAX(H59,0)-'Tax Tables'!$B$23,0),'Tax Tables'!$B$25)*'Tax Tables'!$B$26))*1-MIN('Tax Tables'!$B$22*(MAX(H59,0)-IF(Calculator!$B$10="Yes",MIN(MAX(H59,0),'Tax Tables'!$B$27)*'Tax Tables'!$B$28+MIN(MAX(MAX(H59,0)-'Tax Tables'!$B$27,0),'Tax Tables'!$B$29)*'Tax Tables'!$B$30,MIN(MAX(H59,0),'Tax Tables'!$B$23)*'Tax Tables'!$B$24+MIN(MAX(MAX(H59,0)-'Tax Tables'!$B$23,0),'Tax Tables'!$B$25)*'Tax Tables'!$B$26))*Calculator!$B$11,Calculator!$B$12)</f>
        <v>46665</v>
      </c>
      <c r="J59" s="11" t="n">
        <f aca="false">MAX(H59,0)-I59</f>
        <v>330335</v>
      </c>
      <c r="K59" s="11" t="n">
        <f aca="false">MIN(IF(A59&gt;0,Calculator!$B$13,0)+E59+Calculator!$B$14,'Tax Tables'!$B$36)</f>
        <v>1000</v>
      </c>
      <c r="L59" s="11" t="n">
        <f aca="false">MAX(A59-K59,0)</f>
        <v>22000</v>
      </c>
      <c r="M59" s="11" t="n">
        <f aca="false">SUMPRODUCT((L59&gt;'Tax Tables'!$A$5:$A$17)*(L59-'Tax Tables'!$A$5:$A$17)*'Tax Tables'!$C$5:$C$17)</f>
        <v>40</v>
      </c>
      <c r="N59" s="11" t="n">
        <f aca="false">IF(H59&lt;0,-1E+099,A59-E59-M59+J59+(E59+F59)*Calculator!$B$9)</f>
        <v>353295</v>
      </c>
      <c r="O59" s="2"/>
      <c r="P59" s="11" t="n">
        <f aca="false">46*$B$3</f>
        <v>23000</v>
      </c>
      <c r="Q59" s="11" t="n">
        <f aca="false">MIN(P59,'Tax Tables'!$B$31*'Tax Tables'!$B$32)</f>
        <v>23000</v>
      </c>
      <c r="R59" s="11" t="n">
        <f aca="false">P59-Q59</f>
        <v>0</v>
      </c>
      <c r="S59" s="11" t="n">
        <f aca="false">IF(Calculator!$B$6="Yes",MIN(Q59,'Tax Tables'!$B$31*'Tax Tables'!$B$32),0)</f>
        <v>23000</v>
      </c>
      <c r="T59" s="11" t="n">
        <f aca="false">S59*Calculator!$B$7</f>
        <v>4600</v>
      </c>
      <c r="U59" s="11" t="n">
        <f aca="false">S59*Calculator!$B$8</f>
        <v>3910</v>
      </c>
      <c r="V59" s="11" t="n">
        <f aca="false">IF(Q59&gt;0,'Tax Tables'!$B$32*MIN(MAX(Q59/'Tax Tables'!$B$32*'Tax Tables'!$B$33,'Tax Tables'!$B$34),'Tax Tables'!$B$35),0)</f>
        <v>57.5</v>
      </c>
      <c r="W59" s="11" t="n">
        <f aca="false">Calculator!$B$5-P59-U59-V59</f>
        <v>373032.5</v>
      </c>
      <c r="X59" s="11" t="n">
        <f aca="false">'Tax Tables'!$B$22*(MAX(W59,0)-IF(Calculator!$B$10="Yes",MIN(MAX(W59,0),'Tax Tables'!$B$27)*'Tax Tables'!$B$28+MIN(MAX(MAX(W59,0)-'Tax Tables'!$B$27,0),'Tax Tables'!$B$29)*'Tax Tables'!$B$30,MIN(MAX(W59,0),'Tax Tables'!$B$23)*'Tax Tables'!$B$24+MIN(MAX(MAX(W59,0)-'Tax Tables'!$B$23,0),'Tax Tables'!$B$25)*'Tax Tables'!$B$26))*1-MIN('Tax Tables'!$B$22*(MAX(W59,0)-IF(Calculator!$B$10="Yes",MIN(MAX(W59,0),'Tax Tables'!$B$27)*'Tax Tables'!$B$28+MIN(MAX(MAX(W59,0)-'Tax Tables'!$B$27,0),'Tax Tables'!$B$29)*'Tax Tables'!$B$30,MIN(MAX(W59,0),'Tax Tables'!$B$23)*'Tax Tables'!$B$24+MIN(MAX(MAX(W59,0)-'Tax Tables'!$B$23,0),'Tax Tables'!$B$25)*'Tax Tables'!$B$26))*Calculator!$B$11,Calculator!$B$12)</f>
        <v>45990.525</v>
      </c>
      <c r="Y59" s="11" t="n">
        <f aca="false">MAX(W59,0)-X59</f>
        <v>327041.975</v>
      </c>
      <c r="Z59" s="11" t="n">
        <f aca="false">MIN(IF(P59&gt;0,Calculator!$B$13,0)+T59+Calculator!$B$14,'Tax Tables'!$B$36)</f>
        <v>5600</v>
      </c>
      <c r="AA59" s="11" t="n">
        <f aca="false">MAX(P59-Z59,0)</f>
        <v>17400</v>
      </c>
      <c r="AB59" s="11" t="n">
        <f aca="false">SUMPRODUCT((AA59&gt;'Tax Tables'!$A$5:$A$17)*(AA59-'Tax Tables'!$A$5:$A$17)*'Tax Tables'!$C$5:$C$17)</f>
        <v>0</v>
      </c>
      <c r="AC59" s="11" t="n">
        <f aca="false">IF(W59&lt;0,-1E+099,P59-T59-AB59+Y59+(T59+U59)*Calculator!$B$9)</f>
        <v>353951.975</v>
      </c>
    </row>
    <row r="60" customFormat="false" ht="15" hidden="false" customHeight="false" outlineLevel="0" collapsed="false">
      <c r="A60" s="11" t="n">
        <f aca="false">47*$B$3</f>
        <v>23500</v>
      </c>
      <c r="B60" s="11" t="n">
        <f aca="false">0</f>
        <v>0</v>
      </c>
      <c r="C60" s="11" t="n">
        <f aca="false">A60-B60</f>
        <v>23500</v>
      </c>
      <c r="D60" s="11" t="n">
        <f aca="false">IF(Calculator!$B$6="Yes",MIN(B60,'Tax Tables'!$B$31*'Tax Tables'!$B$32),0)</f>
        <v>0</v>
      </c>
      <c r="E60" s="11" t="n">
        <f aca="false">D60*Calculator!$B$7</f>
        <v>0</v>
      </c>
      <c r="F60" s="11" t="n">
        <f aca="false">D60*Calculator!$B$8</f>
        <v>0</v>
      </c>
      <c r="G60" s="11" t="n">
        <f aca="false">IF(B60&gt;0,'Tax Tables'!$B$32*MIN(MAX(B60/'Tax Tables'!$B$32*'Tax Tables'!$B$33,'Tax Tables'!$B$34),'Tax Tables'!$B$35),0)</f>
        <v>0</v>
      </c>
      <c r="H60" s="11" t="n">
        <f aca="false">Calculator!$B$5-A60-F60-G60</f>
        <v>376500</v>
      </c>
      <c r="I60" s="11" t="n">
        <f aca="false">'Tax Tables'!$B$22*(MAX(H60,0)-IF(Calculator!$B$10="Yes",MIN(MAX(H60,0),'Tax Tables'!$B$27)*'Tax Tables'!$B$28+MIN(MAX(MAX(H60,0)-'Tax Tables'!$B$27,0),'Tax Tables'!$B$29)*'Tax Tables'!$B$30,MIN(MAX(H60,0),'Tax Tables'!$B$23)*'Tax Tables'!$B$24+MIN(MAX(MAX(H60,0)-'Tax Tables'!$B$23,0),'Tax Tables'!$B$25)*'Tax Tables'!$B$26))*1-MIN('Tax Tables'!$B$22*(MAX(H60,0)-IF(Calculator!$B$10="Yes",MIN(MAX(H60,0),'Tax Tables'!$B$27)*'Tax Tables'!$B$28+MIN(MAX(MAX(H60,0)-'Tax Tables'!$B$27,0),'Tax Tables'!$B$29)*'Tax Tables'!$B$30,MIN(MAX(H60,0),'Tax Tables'!$B$23)*'Tax Tables'!$B$24+MIN(MAX(MAX(H60,0)-'Tax Tables'!$B$23,0),'Tax Tables'!$B$25)*'Tax Tables'!$B$26))*Calculator!$B$11,Calculator!$B$12)</f>
        <v>46580</v>
      </c>
      <c r="J60" s="11" t="n">
        <f aca="false">MAX(H60,0)-I60</f>
        <v>329920</v>
      </c>
      <c r="K60" s="11" t="n">
        <f aca="false">MIN(IF(A60&gt;0,Calculator!$B$13,0)+E60+Calculator!$B$14,'Tax Tables'!$B$36)</f>
        <v>1000</v>
      </c>
      <c r="L60" s="11" t="n">
        <f aca="false">MAX(A60-K60,0)</f>
        <v>22500</v>
      </c>
      <c r="M60" s="11" t="n">
        <f aca="false">SUMPRODUCT((L60&gt;'Tax Tables'!$A$5:$A$17)*(L60-'Tax Tables'!$A$5:$A$17)*'Tax Tables'!$C$5:$C$17)</f>
        <v>50</v>
      </c>
      <c r="N60" s="11" t="n">
        <f aca="false">IF(H60&lt;0,-1E+099,A60-E60-M60+J60+(E60+F60)*Calculator!$B$9)</f>
        <v>353370</v>
      </c>
      <c r="O60" s="2"/>
      <c r="P60" s="11" t="n">
        <f aca="false">47*$B$3</f>
        <v>23500</v>
      </c>
      <c r="Q60" s="11" t="n">
        <f aca="false">MIN(P60,'Tax Tables'!$B$31*'Tax Tables'!$B$32)</f>
        <v>23500</v>
      </c>
      <c r="R60" s="11" t="n">
        <f aca="false">P60-Q60</f>
        <v>0</v>
      </c>
      <c r="S60" s="11" t="n">
        <f aca="false">IF(Calculator!$B$6="Yes",MIN(Q60,'Tax Tables'!$B$31*'Tax Tables'!$B$32),0)</f>
        <v>23500</v>
      </c>
      <c r="T60" s="11" t="n">
        <f aca="false">S60*Calculator!$B$7</f>
        <v>4700</v>
      </c>
      <c r="U60" s="11" t="n">
        <f aca="false">S60*Calculator!$B$8</f>
        <v>3995</v>
      </c>
      <c r="V60" s="11" t="n">
        <f aca="false">IF(Q60&gt;0,'Tax Tables'!$B$32*MIN(MAX(Q60/'Tax Tables'!$B$32*'Tax Tables'!$B$33,'Tax Tables'!$B$34),'Tax Tables'!$B$35),0)</f>
        <v>58.75</v>
      </c>
      <c r="W60" s="11" t="n">
        <f aca="false">Calculator!$B$5-P60-U60-V60</f>
        <v>372446.25</v>
      </c>
      <c r="X60" s="11" t="n">
        <f aca="false">'Tax Tables'!$B$22*(MAX(W60,0)-IF(Calculator!$B$10="Yes",MIN(MAX(W60,0),'Tax Tables'!$B$27)*'Tax Tables'!$B$28+MIN(MAX(MAX(W60,0)-'Tax Tables'!$B$27,0),'Tax Tables'!$B$29)*'Tax Tables'!$B$30,MIN(MAX(W60,0),'Tax Tables'!$B$23)*'Tax Tables'!$B$24+MIN(MAX(MAX(W60,0)-'Tax Tables'!$B$23,0),'Tax Tables'!$B$25)*'Tax Tables'!$B$26))*1-MIN('Tax Tables'!$B$22*(MAX(W60,0)-IF(Calculator!$B$10="Yes",MIN(MAX(W60,0),'Tax Tables'!$B$27)*'Tax Tables'!$B$28+MIN(MAX(MAX(W60,0)-'Tax Tables'!$B$27,0),'Tax Tables'!$B$29)*'Tax Tables'!$B$30,MIN(MAX(W60,0),'Tax Tables'!$B$23)*'Tax Tables'!$B$24+MIN(MAX(MAX(W60,0)-'Tax Tables'!$B$23,0),'Tax Tables'!$B$25)*'Tax Tables'!$B$26))*Calculator!$B$11,Calculator!$B$12)</f>
        <v>45890.8625</v>
      </c>
      <c r="Y60" s="11" t="n">
        <f aca="false">MAX(W60,0)-X60</f>
        <v>326555.3875</v>
      </c>
      <c r="Z60" s="11" t="n">
        <f aca="false">MIN(IF(P60&gt;0,Calculator!$B$13,0)+T60+Calculator!$B$14,'Tax Tables'!$B$36)</f>
        <v>5700</v>
      </c>
      <c r="AA60" s="11" t="n">
        <f aca="false">MAX(P60-Z60,0)</f>
        <v>17800</v>
      </c>
      <c r="AB60" s="11" t="n">
        <f aca="false">SUMPRODUCT((AA60&gt;'Tax Tables'!$A$5:$A$17)*(AA60-'Tax Tables'!$A$5:$A$17)*'Tax Tables'!$C$5:$C$17)</f>
        <v>0</v>
      </c>
      <c r="AC60" s="11" t="n">
        <f aca="false">IF(W60&lt;0,-1E+099,P60-T60-AB60+Y60+(T60+U60)*Calculator!$B$9)</f>
        <v>354050.3875</v>
      </c>
    </row>
    <row r="61" customFormat="false" ht="15" hidden="false" customHeight="false" outlineLevel="0" collapsed="false">
      <c r="A61" s="11" t="n">
        <f aca="false">48*$B$3</f>
        <v>24000</v>
      </c>
      <c r="B61" s="11" t="n">
        <f aca="false">0</f>
        <v>0</v>
      </c>
      <c r="C61" s="11" t="n">
        <f aca="false">A61-B61</f>
        <v>24000</v>
      </c>
      <c r="D61" s="11" t="n">
        <f aca="false">IF(Calculator!$B$6="Yes",MIN(B61,'Tax Tables'!$B$31*'Tax Tables'!$B$32),0)</f>
        <v>0</v>
      </c>
      <c r="E61" s="11" t="n">
        <f aca="false">D61*Calculator!$B$7</f>
        <v>0</v>
      </c>
      <c r="F61" s="11" t="n">
        <f aca="false">D61*Calculator!$B$8</f>
        <v>0</v>
      </c>
      <c r="G61" s="11" t="n">
        <f aca="false">IF(B61&gt;0,'Tax Tables'!$B$32*MIN(MAX(B61/'Tax Tables'!$B$32*'Tax Tables'!$B$33,'Tax Tables'!$B$34),'Tax Tables'!$B$35),0)</f>
        <v>0</v>
      </c>
      <c r="H61" s="11" t="n">
        <f aca="false">Calculator!$B$5-A61-F61-G61</f>
        <v>376000</v>
      </c>
      <c r="I61" s="11" t="n">
        <f aca="false">'Tax Tables'!$B$22*(MAX(H61,0)-IF(Calculator!$B$10="Yes",MIN(MAX(H61,0),'Tax Tables'!$B$27)*'Tax Tables'!$B$28+MIN(MAX(MAX(H61,0)-'Tax Tables'!$B$27,0),'Tax Tables'!$B$29)*'Tax Tables'!$B$30,MIN(MAX(H61,0),'Tax Tables'!$B$23)*'Tax Tables'!$B$24+MIN(MAX(MAX(H61,0)-'Tax Tables'!$B$23,0),'Tax Tables'!$B$25)*'Tax Tables'!$B$26))*1-MIN('Tax Tables'!$B$22*(MAX(H61,0)-IF(Calculator!$B$10="Yes",MIN(MAX(H61,0),'Tax Tables'!$B$27)*'Tax Tables'!$B$28+MIN(MAX(MAX(H61,0)-'Tax Tables'!$B$27,0),'Tax Tables'!$B$29)*'Tax Tables'!$B$30,MIN(MAX(H61,0),'Tax Tables'!$B$23)*'Tax Tables'!$B$24+MIN(MAX(MAX(H61,0)-'Tax Tables'!$B$23,0),'Tax Tables'!$B$25)*'Tax Tables'!$B$26))*Calculator!$B$11,Calculator!$B$12)</f>
        <v>46495</v>
      </c>
      <c r="J61" s="11" t="n">
        <f aca="false">MAX(H61,0)-I61</f>
        <v>329505</v>
      </c>
      <c r="K61" s="11" t="n">
        <f aca="false">MIN(IF(A61&gt;0,Calculator!$B$13,0)+E61+Calculator!$B$14,'Tax Tables'!$B$36)</f>
        <v>1000</v>
      </c>
      <c r="L61" s="11" t="n">
        <f aca="false">MAX(A61-K61,0)</f>
        <v>23000</v>
      </c>
      <c r="M61" s="11" t="n">
        <f aca="false">SUMPRODUCT((L61&gt;'Tax Tables'!$A$5:$A$17)*(L61-'Tax Tables'!$A$5:$A$17)*'Tax Tables'!$C$5:$C$17)</f>
        <v>60</v>
      </c>
      <c r="N61" s="11" t="n">
        <f aca="false">IF(H61&lt;0,-1E+099,A61-E61-M61+J61+(E61+F61)*Calculator!$B$9)</f>
        <v>353445</v>
      </c>
      <c r="O61" s="2"/>
      <c r="P61" s="11" t="n">
        <f aca="false">48*$B$3</f>
        <v>24000</v>
      </c>
      <c r="Q61" s="11" t="n">
        <f aca="false">MIN(P61,'Tax Tables'!$B$31*'Tax Tables'!$B$32)</f>
        <v>24000</v>
      </c>
      <c r="R61" s="11" t="n">
        <f aca="false">P61-Q61</f>
        <v>0</v>
      </c>
      <c r="S61" s="11" t="n">
        <f aca="false">IF(Calculator!$B$6="Yes",MIN(Q61,'Tax Tables'!$B$31*'Tax Tables'!$B$32),0)</f>
        <v>24000</v>
      </c>
      <c r="T61" s="11" t="n">
        <f aca="false">S61*Calculator!$B$7</f>
        <v>4800</v>
      </c>
      <c r="U61" s="11" t="n">
        <f aca="false">S61*Calculator!$B$8</f>
        <v>4080</v>
      </c>
      <c r="V61" s="11" t="n">
        <f aca="false">IF(Q61&gt;0,'Tax Tables'!$B$32*MIN(MAX(Q61/'Tax Tables'!$B$32*'Tax Tables'!$B$33,'Tax Tables'!$B$34),'Tax Tables'!$B$35),0)</f>
        <v>60</v>
      </c>
      <c r="W61" s="11" t="n">
        <f aca="false">Calculator!$B$5-P61-U61-V61</f>
        <v>371860</v>
      </c>
      <c r="X61" s="11" t="n">
        <f aca="false">'Tax Tables'!$B$22*(MAX(W61,0)-IF(Calculator!$B$10="Yes",MIN(MAX(W61,0),'Tax Tables'!$B$27)*'Tax Tables'!$B$28+MIN(MAX(MAX(W61,0)-'Tax Tables'!$B$27,0),'Tax Tables'!$B$29)*'Tax Tables'!$B$30,MIN(MAX(W61,0),'Tax Tables'!$B$23)*'Tax Tables'!$B$24+MIN(MAX(MAX(W61,0)-'Tax Tables'!$B$23,0),'Tax Tables'!$B$25)*'Tax Tables'!$B$26))*1-MIN('Tax Tables'!$B$22*(MAX(W61,0)-IF(Calculator!$B$10="Yes",MIN(MAX(W61,0),'Tax Tables'!$B$27)*'Tax Tables'!$B$28+MIN(MAX(MAX(W61,0)-'Tax Tables'!$B$27,0),'Tax Tables'!$B$29)*'Tax Tables'!$B$30,MIN(MAX(W61,0),'Tax Tables'!$B$23)*'Tax Tables'!$B$24+MIN(MAX(MAX(W61,0)-'Tax Tables'!$B$23,0),'Tax Tables'!$B$25)*'Tax Tables'!$B$26))*Calculator!$B$11,Calculator!$B$12)</f>
        <v>45791.2</v>
      </c>
      <c r="Y61" s="11" t="n">
        <f aca="false">MAX(W61,0)-X61</f>
        <v>326068.8</v>
      </c>
      <c r="Z61" s="11" t="n">
        <f aca="false">MIN(IF(P61&gt;0,Calculator!$B$13,0)+T61+Calculator!$B$14,'Tax Tables'!$B$36)</f>
        <v>5800</v>
      </c>
      <c r="AA61" s="11" t="n">
        <f aca="false">MAX(P61-Z61,0)</f>
        <v>18200</v>
      </c>
      <c r="AB61" s="11" t="n">
        <f aca="false">SUMPRODUCT((AA61&gt;'Tax Tables'!$A$5:$A$17)*(AA61-'Tax Tables'!$A$5:$A$17)*'Tax Tables'!$C$5:$C$17)</f>
        <v>0</v>
      </c>
      <c r="AC61" s="11" t="n">
        <f aca="false">IF(W61&lt;0,-1E+099,P61-T61-AB61+Y61+(T61+U61)*Calculator!$B$9)</f>
        <v>354148.8</v>
      </c>
    </row>
    <row r="62" customFormat="false" ht="15" hidden="false" customHeight="false" outlineLevel="0" collapsed="false">
      <c r="A62" s="11" t="n">
        <f aca="false">49*$B$3</f>
        <v>24500</v>
      </c>
      <c r="B62" s="11" t="n">
        <f aca="false">0</f>
        <v>0</v>
      </c>
      <c r="C62" s="11" t="n">
        <f aca="false">A62-B62</f>
        <v>24500</v>
      </c>
      <c r="D62" s="11" t="n">
        <f aca="false">IF(Calculator!$B$6="Yes",MIN(B62,'Tax Tables'!$B$31*'Tax Tables'!$B$32),0)</f>
        <v>0</v>
      </c>
      <c r="E62" s="11" t="n">
        <f aca="false">D62*Calculator!$B$7</f>
        <v>0</v>
      </c>
      <c r="F62" s="11" t="n">
        <f aca="false">D62*Calculator!$B$8</f>
        <v>0</v>
      </c>
      <c r="G62" s="11" t="n">
        <f aca="false">IF(B62&gt;0,'Tax Tables'!$B$32*MIN(MAX(B62/'Tax Tables'!$B$32*'Tax Tables'!$B$33,'Tax Tables'!$B$34),'Tax Tables'!$B$35),0)</f>
        <v>0</v>
      </c>
      <c r="H62" s="11" t="n">
        <f aca="false">Calculator!$B$5-A62-F62-G62</f>
        <v>375500</v>
      </c>
      <c r="I62" s="11" t="n">
        <f aca="false">'Tax Tables'!$B$22*(MAX(H62,0)-IF(Calculator!$B$10="Yes",MIN(MAX(H62,0),'Tax Tables'!$B$27)*'Tax Tables'!$B$28+MIN(MAX(MAX(H62,0)-'Tax Tables'!$B$27,0),'Tax Tables'!$B$29)*'Tax Tables'!$B$30,MIN(MAX(H62,0),'Tax Tables'!$B$23)*'Tax Tables'!$B$24+MIN(MAX(MAX(H62,0)-'Tax Tables'!$B$23,0),'Tax Tables'!$B$25)*'Tax Tables'!$B$26))*1-MIN('Tax Tables'!$B$22*(MAX(H62,0)-IF(Calculator!$B$10="Yes",MIN(MAX(H62,0),'Tax Tables'!$B$27)*'Tax Tables'!$B$28+MIN(MAX(MAX(H62,0)-'Tax Tables'!$B$27,0),'Tax Tables'!$B$29)*'Tax Tables'!$B$30,MIN(MAX(H62,0),'Tax Tables'!$B$23)*'Tax Tables'!$B$24+MIN(MAX(MAX(H62,0)-'Tax Tables'!$B$23,0),'Tax Tables'!$B$25)*'Tax Tables'!$B$26))*Calculator!$B$11,Calculator!$B$12)</f>
        <v>46410</v>
      </c>
      <c r="J62" s="11" t="n">
        <f aca="false">MAX(H62,0)-I62</f>
        <v>329090</v>
      </c>
      <c r="K62" s="11" t="n">
        <f aca="false">MIN(IF(A62&gt;0,Calculator!$B$13,0)+E62+Calculator!$B$14,'Tax Tables'!$B$36)</f>
        <v>1000</v>
      </c>
      <c r="L62" s="11" t="n">
        <f aca="false">MAX(A62-K62,0)</f>
        <v>23500</v>
      </c>
      <c r="M62" s="11" t="n">
        <f aca="false">SUMPRODUCT((L62&gt;'Tax Tables'!$A$5:$A$17)*(L62-'Tax Tables'!$A$5:$A$17)*'Tax Tables'!$C$5:$C$17)</f>
        <v>70</v>
      </c>
      <c r="N62" s="11" t="n">
        <f aca="false">IF(H62&lt;0,-1E+099,A62-E62-M62+J62+(E62+F62)*Calculator!$B$9)</f>
        <v>353520</v>
      </c>
      <c r="O62" s="2"/>
      <c r="P62" s="11" t="n">
        <f aca="false">49*$B$3</f>
        <v>24500</v>
      </c>
      <c r="Q62" s="11" t="n">
        <f aca="false">MIN(P62,'Tax Tables'!$B$31*'Tax Tables'!$B$32)</f>
        <v>24500</v>
      </c>
      <c r="R62" s="11" t="n">
        <f aca="false">P62-Q62</f>
        <v>0</v>
      </c>
      <c r="S62" s="11" t="n">
        <f aca="false">IF(Calculator!$B$6="Yes",MIN(Q62,'Tax Tables'!$B$31*'Tax Tables'!$B$32),0)</f>
        <v>24500</v>
      </c>
      <c r="T62" s="11" t="n">
        <f aca="false">S62*Calculator!$B$7</f>
        <v>4900</v>
      </c>
      <c r="U62" s="11" t="n">
        <f aca="false">S62*Calculator!$B$8</f>
        <v>4165</v>
      </c>
      <c r="V62" s="11" t="n">
        <f aca="false">IF(Q62&gt;0,'Tax Tables'!$B$32*MIN(MAX(Q62/'Tax Tables'!$B$32*'Tax Tables'!$B$33,'Tax Tables'!$B$34),'Tax Tables'!$B$35),0)</f>
        <v>61.25</v>
      </c>
      <c r="W62" s="11" t="n">
        <f aca="false">Calculator!$B$5-P62-U62-V62</f>
        <v>371273.75</v>
      </c>
      <c r="X62" s="11" t="n">
        <f aca="false">'Tax Tables'!$B$22*(MAX(W62,0)-IF(Calculator!$B$10="Yes",MIN(MAX(W62,0),'Tax Tables'!$B$27)*'Tax Tables'!$B$28+MIN(MAX(MAX(W62,0)-'Tax Tables'!$B$27,0),'Tax Tables'!$B$29)*'Tax Tables'!$B$30,MIN(MAX(W62,0),'Tax Tables'!$B$23)*'Tax Tables'!$B$24+MIN(MAX(MAX(W62,0)-'Tax Tables'!$B$23,0),'Tax Tables'!$B$25)*'Tax Tables'!$B$26))*1-MIN('Tax Tables'!$B$22*(MAX(W62,0)-IF(Calculator!$B$10="Yes",MIN(MAX(W62,0),'Tax Tables'!$B$27)*'Tax Tables'!$B$28+MIN(MAX(MAX(W62,0)-'Tax Tables'!$B$27,0),'Tax Tables'!$B$29)*'Tax Tables'!$B$30,MIN(MAX(W62,0),'Tax Tables'!$B$23)*'Tax Tables'!$B$24+MIN(MAX(MAX(W62,0)-'Tax Tables'!$B$23,0),'Tax Tables'!$B$25)*'Tax Tables'!$B$26))*Calculator!$B$11,Calculator!$B$12)</f>
        <v>45691.5375</v>
      </c>
      <c r="Y62" s="11" t="n">
        <f aca="false">MAX(W62,0)-X62</f>
        <v>325582.2125</v>
      </c>
      <c r="Z62" s="11" t="n">
        <f aca="false">MIN(IF(P62&gt;0,Calculator!$B$13,0)+T62+Calculator!$B$14,'Tax Tables'!$B$36)</f>
        <v>5900</v>
      </c>
      <c r="AA62" s="11" t="n">
        <f aca="false">MAX(P62-Z62,0)</f>
        <v>18600</v>
      </c>
      <c r="AB62" s="11" t="n">
        <f aca="false">SUMPRODUCT((AA62&gt;'Tax Tables'!$A$5:$A$17)*(AA62-'Tax Tables'!$A$5:$A$17)*'Tax Tables'!$C$5:$C$17)</f>
        <v>0</v>
      </c>
      <c r="AC62" s="11" t="n">
        <f aca="false">IF(W62&lt;0,-1E+099,P62-T62-AB62+Y62+(T62+U62)*Calculator!$B$9)</f>
        <v>354247.2125</v>
      </c>
    </row>
    <row r="63" customFormat="false" ht="15" hidden="false" customHeight="false" outlineLevel="0" collapsed="false">
      <c r="A63" s="11" t="n">
        <f aca="false">50*$B$3</f>
        <v>25000</v>
      </c>
      <c r="B63" s="11" t="n">
        <f aca="false">0</f>
        <v>0</v>
      </c>
      <c r="C63" s="11" t="n">
        <f aca="false">A63-B63</f>
        <v>25000</v>
      </c>
      <c r="D63" s="11" t="n">
        <f aca="false">IF(Calculator!$B$6="Yes",MIN(B63,'Tax Tables'!$B$31*'Tax Tables'!$B$32),0)</f>
        <v>0</v>
      </c>
      <c r="E63" s="11" t="n">
        <f aca="false">D63*Calculator!$B$7</f>
        <v>0</v>
      </c>
      <c r="F63" s="11" t="n">
        <f aca="false">D63*Calculator!$B$8</f>
        <v>0</v>
      </c>
      <c r="G63" s="11" t="n">
        <f aca="false">IF(B63&gt;0,'Tax Tables'!$B$32*MIN(MAX(B63/'Tax Tables'!$B$32*'Tax Tables'!$B$33,'Tax Tables'!$B$34),'Tax Tables'!$B$35),0)</f>
        <v>0</v>
      </c>
      <c r="H63" s="11" t="n">
        <f aca="false">Calculator!$B$5-A63-F63-G63</f>
        <v>375000</v>
      </c>
      <c r="I63" s="11" t="n">
        <f aca="false">'Tax Tables'!$B$22*(MAX(H63,0)-IF(Calculator!$B$10="Yes",MIN(MAX(H63,0),'Tax Tables'!$B$27)*'Tax Tables'!$B$28+MIN(MAX(MAX(H63,0)-'Tax Tables'!$B$27,0),'Tax Tables'!$B$29)*'Tax Tables'!$B$30,MIN(MAX(H63,0),'Tax Tables'!$B$23)*'Tax Tables'!$B$24+MIN(MAX(MAX(H63,0)-'Tax Tables'!$B$23,0),'Tax Tables'!$B$25)*'Tax Tables'!$B$26))*1-MIN('Tax Tables'!$B$22*(MAX(H63,0)-IF(Calculator!$B$10="Yes",MIN(MAX(H63,0),'Tax Tables'!$B$27)*'Tax Tables'!$B$28+MIN(MAX(MAX(H63,0)-'Tax Tables'!$B$27,0),'Tax Tables'!$B$29)*'Tax Tables'!$B$30,MIN(MAX(H63,0),'Tax Tables'!$B$23)*'Tax Tables'!$B$24+MIN(MAX(MAX(H63,0)-'Tax Tables'!$B$23,0),'Tax Tables'!$B$25)*'Tax Tables'!$B$26))*Calculator!$B$11,Calculator!$B$12)</f>
        <v>46325</v>
      </c>
      <c r="J63" s="11" t="n">
        <f aca="false">MAX(H63,0)-I63</f>
        <v>328675</v>
      </c>
      <c r="K63" s="11" t="n">
        <f aca="false">MIN(IF(A63&gt;0,Calculator!$B$13,0)+E63+Calculator!$B$14,'Tax Tables'!$B$36)</f>
        <v>1000</v>
      </c>
      <c r="L63" s="11" t="n">
        <f aca="false">MAX(A63-K63,0)</f>
        <v>24000</v>
      </c>
      <c r="M63" s="11" t="n">
        <f aca="false">SUMPRODUCT((L63&gt;'Tax Tables'!$A$5:$A$17)*(L63-'Tax Tables'!$A$5:$A$17)*'Tax Tables'!$C$5:$C$17)</f>
        <v>80</v>
      </c>
      <c r="N63" s="11" t="n">
        <f aca="false">IF(H63&lt;0,-1E+099,A63-E63-M63+J63+(E63+F63)*Calculator!$B$9)</f>
        <v>353595</v>
      </c>
      <c r="O63" s="2"/>
      <c r="P63" s="11" t="n">
        <f aca="false">50*$B$3</f>
        <v>25000</v>
      </c>
      <c r="Q63" s="11" t="n">
        <f aca="false">MIN(P63,'Tax Tables'!$B$31*'Tax Tables'!$B$32)</f>
        <v>25000</v>
      </c>
      <c r="R63" s="11" t="n">
        <f aca="false">P63-Q63</f>
        <v>0</v>
      </c>
      <c r="S63" s="11" t="n">
        <f aca="false">IF(Calculator!$B$6="Yes",MIN(Q63,'Tax Tables'!$B$31*'Tax Tables'!$B$32),0)</f>
        <v>25000</v>
      </c>
      <c r="T63" s="11" t="n">
        <f aca="false">S63*Calculator!$B$7</f>
        <v>5000</v>
      </c>
      <c r="U63" s="11" t="n">
        <f aca="false">S63*Calculator!$B$8</f>
        <v>4250</v>
      </c>
      <c r="V63" s="11" t="n">
        <f aca="false">IF(Q63&gt;0,'Tax Tables'!$B$32*MIN(MAX(Q63/'Tax Tables'!$B$32*'Tax Tables'!$B$33,'Tax Tables'!$B$34),'Tax Tables'!$B$35),0)</f>
        <v>62.5</v>
      </c>
      <c r="W63" s="11" t="n">
        <f aca="false">Calculator!$B$5-P63-U63-V63</f>
        <v>370687.5</v>
      </c>
      <c r="X63" s="11" t="n">
        <f aca="false">'Tax Tables'!$B$22*(MAX(W63,0)-IF(Calculator!$B$10="Yes",MIN(MAX(W63,0),'Tax Tables'!$B$27)*'Tax Tables'!$B$28+MIN(MAX(MAX(W63,0)-'Tax Tables'!$B$27,0),'Tax Tables'!$B$29)*'Tax Tables'!$B$30,MIN(MAX(W63,0),'Tax Tables'!$B$23)*'Tax Tables'!$B$24+MIN(MAX(MAX(W63,0)-'Tax Tables'!$B$23,0),'Tax Tables'!$B$25)*'Tax Tables'!$B$26))*1-MIN('Tax Tables'!$B$22*(MAX(W63,0)-IF(Calculator!$B$10="Yes",MIN(MAX(W63,0),'Tax Tables'!$B$27)*'Tax Tables'!$B$28+MIN(MAX(MAX(W63,0)-'Tax Tables'!$B$27,0),'Tax Tables'!$B$29)*'Tax Tables'!$B$30,MIN(MAX(W63,0),'Tax Tables'!$B$23)*'Tax Tables'!$B$24+MIN(MAX(MAX(W63,0)-'Tax Tables'!$B$23,0),'Tax Tables'!$B$25)*'Tax Tables'!$B$26))*Calculator!$B$11,Calculator!$B$12)</f>
        <v>45591.875</v>
      </c>
      <c r="Y63" s="11" t="n">
        <f aca="false">MAX(W63,0)-X63</f>
        <v>325095.625</v>
      </c>
      <c r="Z63" s="11" t="n">
        <f aca="false">MIN(IF(P63&gt;0,Calculator!$B$13,0)+T63+Calculator!$B$14,'Tax Tables'!$B$36)</f>
        <v>6000</v>
      </c>
      <c r="AA63" s="11" t="n">
        <f aca="false">MAX(P63-Z63,0)</f>
        <v>19000</v>
      </c>
      <c r="AB63" s="11" t="n">
        <f aca="false">SUMPRODUCT((AA63&gt;'Tax Tables'!$A$5:$A$17)*(AA63-'Tax Tables'!$A$5:$A$17)*'Tax Tables'!$C$5:$C$17)</f>
        <v>0</v>
      </c>
      <c r="AC63" s="11" t="n">
        <f aca="false">IF(W63&lt;0,-1E+099,P63-T63-AB63+Y63+(T63+U63)*Calculator!$B$9)</f>
        <v>354345.625</v>
      </c>
    </row>
    <row r="64" customFormat="false" ht="15" hidden="false" customHeight="false" outlineLevel="0" collapsed="false">
      <c r="A64" s="11" t="n">
        <f aca="false">51*$B$3</f>
        <v>25500</v>
      </c>
      <c r="B64" s="11" t="n">
        <f aca="false">0</f>
        <v>0</v>
      </c>
      <c r="C64" s="11" t="n">
        <f aca="false">A64-B64</f>
        <v>25500</v>
      </c>
      <c r="D64" s="11" t="n">
        <f aca="false">IF(Calculator!$B$6="Yes",MIN(B64,'Tax Tables'!$B$31*'Tax Tables'!$B$32),0)</f>
        <v>0</v>
      </c>
      <c r="E64" s="11" t="n">
        <f aca="false">D64*Calculator!$B$7</f>
        <v>0</v>
      </c>
      <c r="F64" s="11" t="n">
        <f aca="false">D64*Calculator!$B$8</f>
        <v>0</v>
      </c>
      <c r="G64" s="11" t="n">
        <f aca="false">IF(B64&gt;0,'Tax Tables'!$B$32*MIN(MAX(B64/'Tax Tables'!$B$32*'Tax Tables'!$B$33,'Tax Tables'!$B$34),'Tax Tables'!$B$35),0)</f>
        <v>0</v>
      </c>
      <c r="H64" s="11" t="n">
        <f aca="false">Calculator!$B$5-A64-F64-G64</f>
        <v>374500</v>
      </c>
      <c r="I64" s="11" t="n">
        <f aca="false">'Tax Tables'!$B$22*(MAX(H64,0)-IF(Calculator!$B$10="Yes",MIN(MAX(H64,0),'Tax Tables'!$B$27)*'Tax Tables'!$B$28+MIN(MAX(MAX(H64,0)-'Tax Tables'!$B$27,0),'Tax Tables'!$B$29)*'Tax Tables'!$B$30,MIN(MAX(H64,0),'Tax Tables'!$B$23)*'Tax Tables'!$B$24+MIN(MAX(MAX(H64,0)-'Tax Tables'!$B$23,0),'Tax Tables'!$B$25)*'Tax Tables'!$B$26))*1-MIN('Tax Tables'!$B$22*(MAX(H64,0)-IF(Calculator!$B$10="Yes",MIN(MAX(H64,0),'Tax Tables'!$B$27)*'Tax Tables'!$B$28+MIN(MAX(MAX(H64,0)-'Tax Tables'!$B$27,0),'Tax Tables'!$B$29)*'Tax Tables'!$B$30,MIN(MAX(H64,0),'Tax Tables'!$B$23)*'Tax Tables'!$B$24+MIN(MAX(MAX(H64,0)-'Tax Tables'!$B$23,0),'Tax Tables'!$B$25)*'Tax Tables'!$B$26))*Calculator!$B$11,Calculator!$B$12)</f>
        <v>46240</v>
      </c>
      <c r="J64" s="11" t="n">
        <f aca="false">MAX(H64,0)-I64</f>
        <v>328260</v>
      </c>
      <c r="K64" s="11" t="n">
        <f aca="false">MIN(IF(A64&gt;0,Calculator!$B$13,0)+E64+Calculator!$B$14,'Tax Tables'!$B$36)</f>
        <v>1000</v>
      </c>
      <c r="L64" s="11" t="n">
        <f aca="false">MAX(A64-K64,0)</f>
        <v>24500</v>
      </c>
      <c r="M64" s="11" t="n">
        <f aca="false">SUMPRODUCT((L64&gt;'Tax Tables'!$A$5:$A$17)*(L64-'Tax Tables'!$A$5:$A$17)*'Tax Tables'!$C$5:$C$17)</f>
        <v>90</v>
      </c>
      <c r="N64" s="11" t="n">
        <f aca="false">IF(H64&lt;0,-1E+099,A64-E64-M64+J64+(E64+F64)*Calculator!$B$9)</f>
        <v>353670</v>
      </c>
      <c r="O64" s="2"/>
      <c r="P64" s="11" t="n">
        <f aca="false">51*$B$3</f>
        <v>25500</v>
      </c>
      <c r="Q64" s="11" t="n">
        <f aca="false">MIN(P64,'Tax Tables'!$B$31*'Tax Tables'!$B$32)</f>
        <v>25500</v>
      </c>
      <c r="R64" s="11" t="n">
        <f aca="false">P64-Q64</f>
        <v>0</v>
      </c>
      <c r="S64" s="11" t="n">
        <f aca="false">IF(Calculator!$B$6="Yes",MIN(Q64,'Tax Tables'!$B$31*'Tax Tables'!$B$32),0)</f>
        <v>25500</v>
      </c>
      <c r="T64" s="11" t="n">
        <f aca="false">S64*Calculator!$B$7</f>
        <v>5100</v>
      </c>
      <c r="U64" s="11" t="n">
        <f aca="false">S64*Calculator!$B$8</f>
        <v>4335</v>
      </c>
      <c r="V64" s="11" t="n">
        <f aca="false">IF(Q64&gt;0,'Tax Tables'!$B$32*MIN(MAX(Q64/'Tax Tables'!$B$32*'Tax Tables'!$B$33,'Tax Tables'!$B$34),'Tax Tables'!$B$35),0)</f>
        <v>63.75</v>
      </c>
      <c r="W64" s="11" t="n">
        <f aca="false">Calculator!$B$5-P64-U64-V64</f>
        <v>370101.25</v>
      </c>
      <c r="X64" s="11" t="n">
        <f aca="false">'Tax Tables'!$B$22*(MAX(W64,0)-IF(Calculator!$B$10="Yes",MIN(MAX(W64,0),'Tax Tables'!$B$27)*'Tax Tables'!$B$28+MIN(MAX(MAX(W64,0)-'Tax Tables'!$B$27,0),'Tax Tables'!$B$29)*'Tax Tables'!$B$30,MIN(MAX(W64,0),'Tax Tables'!$B$23)*'Tax Tables'!$B$24+MIN(MAX(MAX(W64,0)-'Tax Tables'!$B$23,0),'Tax Tables'!$B$25)*'Tax Tables'!$B$26))*1-MIN('Tax Tables'!$B$22*(MAX(W64,0)-IF(Calculator!$B$10="Yes",MIN(MAX(W64,0),'Tax Tables'!$B$27)*'Tax Tables'!$B$28+MIN(MAX(MAX(W64,0)-'Tax Tables'!$B$27,0),'Tax Tables'!$B$29)*'Tax Tables'!$B$30,MIN(MAX(W64,0),'Tax Tables'!$B$23)*'Tax Tables'!$B$24+MIN(MAX(MAX(W64,0)-'Tax Tables'!$B$23,0),'Tax Tables'!$B$25)*'Tax Tables'!$B$26))*Calculator!$B$11,Calculator!$B$12)</f>
        <v>45492.2125</v>
      </c>
      <c r="Y64" s="11" t="n">
        <f aca="false">MAX(W64,0)-X64</f>
        <v>324609.0375</v>
      </c>
      <c r="Z64" s="11" t="n">
        <f aca="false">MIN(IF(P64&gt;0,Calculator!$B$13,0)+T64+Calculator!$B$14,'Tax Tables'!$B$36)</f>
        <v>6100</v>
      </c>
      <c r="AA64" s="11" t="n">
        <f aca="false">MAX(P64-Z64,0)</f>
        <v>19400</v>
      </c>
      <c r="AB64" s="11" t="n">
        <f aca="false">SUMPRODUCT((AA64&gt;'Tax Tables'!$A$5:$A$17)*(AA64-'Tax Tables'!$A$5:$A$17)*'Tax Tables'!$C$5:$C$17)</f>
        <v>0</v>
      </c>
      <c r="AC64" s="11" t="n">
        <f aca="false">IF(W64&lt;0,-1E+099,P64-T64-AB64+Y64+(T64+U64)*Calculator!$B$9)</f>
        <v>354444.0375</v>
      </c>
    </row>
    <row r="65" customFormat="false" ht="15" hidden="false" customHeight="false" outlineLevel="0" collapsed="false">
      <c r="A65" s="11" t="n">
        <f aca="false">52*$B$3</f>
        <v>26000</v>
      </c>
      <c r="B65" s="11" t="n">
        <f aca="false">0</f>
        <v>0</v>
      </c>
      <c r="C65" s="11" t="n">
        <f aca="false">A65-B65</f>
        <v>26000</v>
      </c>
      <c r="D65" s="11" t="n">
        <f aca="false">IF(Calculator!$B$6="Yes",MIN(B65,'Tax Tables'!$B$31*'Tax Tables'!$B$32),0)</f>
        <v>0</v>
      </c>
      <c r="E65" s="11" t="n">
        <f aca="false">D65*Calculator!$B$7</f>
        <v>0</v>
      </c>
      <c r="F65" s="11" t="n">
        <f aca="false">D65*Calculator!$B$8</f>
        <v>0</v>
      </c>
      <c r="G65" s="11" t="n">
        <f aca="false">IF(B65&gt;0,'Tax Tables'!$B$32*MIN(MAX(B65/'Tax Tables'!$B$32*'Tax Tables'!$B$33,'Tax Tables'!$B$34),'Tax Tables'!$B$35),0)</f>
        <v>0</v>
      </c>
      <c r="H65" s="11" t="n">
        <f aca="false">Calculator!$B$5-A65-F65-G65</f>
        <v>374000</v>
      </c>
      <c r="I65" s="11" t="n">
        <f aca="false">'Tax Tables'!$B$22*(MAX(H65,0)-IF(Calculator!$B$10="Yes",MIN(MAX(H65,0),'Tax Tables'!$B$27)*'Tax Tables'!$B$28+MIN(MAX(MAX(H65,0)-'Tax Tables'!$B$27,0),'Tax Tables'!$B$29)*'Tax Tables'!$B$30,MIN(MAX(H65,0),'Tax Tables'!$B$23)*'Tax Tables'!$B$24+MIN(MAX(MAX(H65,0)-'Tax Tables'!$B$23,0),'Tax Tables'!$B$25)*'Tax Tables'!$B$26))*1-MIN('Tax Tables'!$B$22*(MAX(H65,0)-IF(Calculator!$B$10="Yes",MIN(MAX(H65,0),'Tax Tables'!$B$27)*'Tax Tables'!$B$28+MIN(MAX(MAX(H65,0)-'Tax Tables'!$B$27,0),'Tax Tables'!$B$29)*'Tax Tables'!$B$30,MIN(MAX(H65,0),'Tax Tables'!$B$23)*'Tax Tables'!$B$24+MIN(MAX(MAX(H65,0)-'Tax Tables'!$B$23,0),'Tax Tables'!$B$25)*'Tax Tables'!$B$26))*Calculator!$B$11,Calculator!$B$12)</f>
        <v>46155</v>
      </c>
      <c r="J65" s="11" t="n">
        <f aca="false">MAX(H65,0)-I65</f>
        <v>327845</v>
      </c>
      <c r="K65" s="11" t="n">
        <f aca="false">MIN(IF(A65&gt;0,Calculator!$B$13,0)+E65+Calculator!$B$14,'Tax Tables'!$B$36)</f>
        <v>1000</v>
      </c>
      <c r="L65" s="11" t="n">
        <f aca="false">MAX(A65-K65,0)</f>
        <v>25000</v>
      </c>
      <c r="M65" s="11" t="n">
        <f aca="false">SUMPRODUCT((L65&gt;'Tax Tables'!$A$5:$A$17)*(L65-'Tax Tables'!$A$5:$A$17)*'Tax Tables'!$C$5:$C$17)</f>
        <v>100</v>
      </c>
      <c r="N65" s="11" t="n">
        <f aca="false">IF(H65&lt;0,-1E+099,A65-E65-M65+J65+(E65+F65)*Calculator!$B$9)</f>
        <v>353745</v>
      </c>
      <c r="O65" s="2"/>
      <c r="P65" s="11" t="n">
        <f aca="false">52*$B$3</f>
        <v>26000</v>
      </c>
      <c r="Q65" s="11" t="n">
        <f aca="false">MIN(P65,'Tax Tables'!$B$31*'Tax Tables'!$B$32)</f>
        <v>26000</v>
      </c>
      <c r="R65" s="11" t="n">
        <f aca="false">P65-Q65</f>
        <v>0</v>
      </c>
      <c r="S65" s="11" t="n">
        <f aca="false">IF(Calculator!$B$6="Yes",MIN(Q65,'Tax Tables'!$B$31*'Tax Tables'!$B$32),0)</f>
        <v>26000</v>
      </c>
      <c r="T65" s="11" t="n">
        <f aca="false">S65*Calculator!$B$7</f>
        <v>5200</v>
      </c>
      <c r="U65" s="11" t="n">
        <f aca="false">S65*Calculator!$B$8</f>
        <v>4420</v>
      </c>
      <c r="V65" s="11" t="n">
        <f aca="false">IF(Q65&gt;0,'Tax Tables'!$B$32*MIN(MAX(Q65/'Tax Tables'!$B$32*'Tax Tables'!$B$33,'Tax Tables'!$B$34),'Tax Tables'!$B$35),0)</f>
        <v>65</v>
      </c>
      <c r="W65" s="11" t="n">
        <f aca="false">Calculator!$B$5-P65-U65-V65</f>
        <v>369515</v>
      </c>
      <c r="X65" s="11" t="n">
        <f aca="false">'Tax Tables'!$B$22*(MAX(W65,0)-IF(Calculator!$B$10="Yes",MIN(MAX(W65,0),'Tax Tables'!$B$27)*'Tax Tables'!$B$28+MIN(MAX(MAX(W65,0)-'Tax Tables'!$B$27,0),'Tax Tables'!$B$29)*'Tax Tables'!$B$30,MIN(MAX(W65,0),'Tax Tables'!$B$23)*'Tax Tables'!$B$24+MIN(MAX(MAX(W65,0)-'Tax Tables'!$B$23,0),'Tax Tables'!$B$25)*'Tax Tables'!$B$26))*1-MIN('Tax Tables'!$B$22*(MAX(W65,0)-IF(Calculator!$B$10="Yes",MIN(MAX(W65,0),'Tax Tables'!$B$27)*'Tax Tables'!$B$28+MIN(MAX(MAX(W65,0)-'Tax Tables'!$B$27,0),'Tax Tables'!$B$29)*'Tax Tables'!$B$30,MIN(MAX(W65,0),'Tax Tables'!$B$23)*'Tax Tables'!$B$24+MIN(MAX(MAX(W65,0)-'Tax Tables'!$B$23,0),'Tax Tables'!$B$25)*'Tax Tables'!$B$26))*Calculator!$B$11,Calculator!$B$12)</f>
        <v>45392.55</v>
      </c>
      <c r="Y65" s="11" t="n">
        <f aca="false">MAX(W65,0)-X65</f>
        <v>324122.45</v>
      </c>
      <c r="Z65" s="11" t="n">
        <f aca="false">MIN(IF(P65&gt;0,Calculator!$B$13,0)+T65+Calculator!$B$14,'Tax Tables'!$B$36)</f>
        <v>6200</v>
      </c>
      <c r="AA65" s="11" t="n">
        <f aca="false">MAX(P65-Z65,0)</f>
        <v>19800</v>
      </c>
      <c r="AB65" s="11" t="n">
        <f aca="false">SUMPRODUCT((AA65&gt;'Tax Tables'!$A$5:$A$17)*(AA65-'Tax Tables'!$A$5:$A$17)*'Tax Tables'!$C$5:$C$17)</f>
        <v>0</v>
      </c>
      <c r="AC65" s="11" t="n">
        <f aca="false">IF(W65&lt;0,-1E+099,P65-T65-AB65+Y65+(T65+U65)*Calculator!$B$9)</f>
        <v>354542.45</v>
      </c>
    </row>
    <row r="66" customFormat="false" ht="15" hidden="false" customHeight="false" outlineLevel="0" collapsed="false">
      <c r="A66" s="11" t="n">
        <f aca="false">53*$B$3</f>
        <v>26500</v>
      </c>
      <c r="B66" s="11" t="n">
        <f aca="false">0</f>
        <v>0</v>
      </c>
      <c r="C66" s="11" t="n">
        <f aca="false">A66-B66</f>
        <v>26500</v>
      </c>
      <c r="D66" s="11" t="n">
        <f aca="false">IF(Calculator!$B$6="Yes",MIN(B66,'Tax Tables'!$B$31*'Tax Tables'!$B$32),0)</f>
        <v>0</v>
      </c>
      <c r="E66" s="11" t="n">
        <f aca="false">D66*Calculator!$B$7</f>
        <v>0</v>
      </c>
      <c r="F66" s="11" t="n">
        <f aca="false">D66*Calculator!$B$8</f>
        <v>0</v>
      </c>
      <c r="G66" s="11" t="n">
        <f aca="false">IF(B66&gt;0,'Tax Tables'!$B$32*MIN(MAX(B66/'Tax Tables'!$B$32*'Tax Tables'!$B$33,'Tax Tables'!$B$34),'Tax Tables'!$B$35),0)</f>
        <v>0</v>
      </c>
      <c r="H66" s="11" t="n">
        <f aca="false">Calculator!$B$5-A66-F66-G66</f>
        <v>373500</v>
      </c>
      <c r="I66" s="11" t="n">
        <f aca="false">'Tax Tables'!$B$22*(MAX(H66,0)-IF(Calculator!$B$10="Yes",MIN(MAX(H66,0),'Tax Tables'!$B$27)*'Tax Tables'!$B$28+MIN(MAX(MAX(H66,0)-'Tax Tables'!$B$27,0),'Tax Tables'!$B$29)*'Tax Tables'!$B$30,MIN(MAX(H66,0),'Tax Tables'!$B$23)*'Tax Tables'!$B$24+MIN(MAX(MAX(H66,0)-'Tax Tables'!$B$23,0),'Tax Tables'!$B$25)*'Tax Tables'!$B$26))*1-MIN('Tax Tables'!$B$22*(MAX(H66,0)-IF(Calculator!$B$10="Yes",MIN(MAX(H66,0),'Tax Tables'!$B$27)*'Tax Tables'!$B$28+MIN(MAX(MAX(H66,0)-'Tax Tables'!$B$27,0),'Tax Tables'!$B$29)*'Tax Tables'!$B$30,MIN(MAX(H66,0),'Tax Tables'!$B$23)*'Tax Tables'!$B$24+MIN(MAX(MAX(H66,0)-'Tax Tables'!$B$23,0),'Tax Tables'!$B$25)*'Tax Tables'!$B$26))*Calculator!$B$11,Calculator!$B$12)</f>
        <v>46070</v>
      </c>
      <c r="J66" s="11" t="n">
        <f aca="false">MAX(H66,0)-I66</f>
        <v>327430</v>
      </c>
      <c r="K66" s="11" t="n">
        <f aca="false">MIN(IF(A66&gt;0,Calculator!$B$13,0)+E66+Calculator!$B$14,'Tax Tables'!$B$36)</f>
        <v>1000</v>
      </c>
      <c r="L66" s="11" t="n">
        <f aca="false">MAX(A66-K66,0)</f>
        <v>25500</v>
      </c>
      <c r="M66" s="11" t="n">
        <f aca="false">SUMPRODUCT((L66&gt;'Tax Tables'!$A$5:$A$17)*(L66-'Tax Tables'!$A$5:$A$17)*'Tax Tables'!$C$5:$C$17)</f>
        <v>110</v>
      </c>
      <c r="N66" s="11" t="n">
        <f aca="false">IF(H66&lt;0,-1E+099,A66-E66-M66+J66+(E66+F66)*Calculator!$B$9)</f>
        <v>353820</v>
      </c>
      <c r="O66" s="2"/>
      <c r="P66" s="11" t="n">
        <f aca="false">53*$B$3</f>
        <v>26500</v>
      </c>
      <c r="Q66" s="11" t="n">
        <f aca="false">MIN(P66,'Tax Tables'!$B$31*'Tax Tables'!$B$32)</f>
        <v>26500</v>
      </c>
      <c r="R66" s="11" t="n">
        <f aca="false">P66-Q66</f>
        <v>0</v>
      </c>
      <c r="S66" s="11" t="n">
        <f aca="false">IF(Calculator!$B$6="Yes",MIN(Q66,'Tax Tables'!$B$31*'Tax Tables'!$B$32),0)</f>
        <v>26500</v>
      </c>
      <c r="T66" s="11" t="n">
        <f aca="false">S66*Calculator!$B$7</f>
        <v>5300</v>
      </c>
      <c r="U66" s="11" t="n">
        <f aca="false">S66*Calculator!$B$8</f>
        <v>4505</v>
      </c>
      <c r="V66" s="11" t="n">
        <f aca="false">IF(Q66&gt;0,'Tax Tables'!$B$32*MIN(MAX(Q66/'Tax Tables'!$B$32*'Tax Tables'!$B$33,'Tax Tables'!$B$34),'Tax Tables'!$B$35),0)</f>
        <v>66.25</v>
      </c>
      <c r="W66" s="11" t="n">
        <f aca="false">Calculator!$B$5-P66-U66-V66</f>
        <v>368928.75</v>
      </c>
      <c r="X66" s="11" t="n">
        <f aca="false">'Tax Tables'!$B$22*(MAX(W66,0)-IF(Calculator!$B$10="Yes",MIN(MAX(W66,0),'Tax Tables'!$B$27)*'Tax Tables'!$B$28+MIN(MAX(MAX(W66,0)-'Tax Tables'!$B$27,0),'Tax Tables'!$B$29)*'Tax Tables'!$B$30,MIN(MAX(W66,0),'Tax Tables'!$B$23)*'Tax Tables'!$B$24+MIN(MAX(MAX(W66,0)-'Tax Tables'!$B$23,0),'Tax Tables'!$B$25)*'Tax Tables'!$B$26))*1-MIN('Tax Tables'!$B$22*(MAX(W66,0)-IF(Calculator!$B$10="Yes",MIN(MAX(W66,0),'Tax Tables'!$B$27)*'Tax Tables'!$B$28+MIN(MAX(MAX(W66,0)-'Tax Tables'!$B$27,0),'Tax Tables'!$B$29)*'Tax Tables'!$B$30,MIN(MAX(W66,0),'Tax Tables'!$B$23)*'Tax Tables'!$B$24+MIN(MAX(MAX(W66,0)-'Tax Tables'!$B$23,0),'Tax Tables'!$B$25)*'Tax Tables'!$B$26))*Calculator!$B$11,Calculator!$B$12)</f>
        <v>45292.8875</v>
      </c>
      <c r="Y66" s="11" t="n">
        <f aca="false">MAX(W66,0)-X66</f>
        <v>323635.8625</v>
      </c>
      <c r="Z66" s="11" t="n">
        <f aca="false">MIN(IF(P66&gt;0,Calculator!$B$13,0)+T66+Calculator!$B$14,'Tax Tables'!$B$36)</f>
        <v>6300</v>
      </c>
      <c r="AA66" s="11" t="n">
        <f aca="false">MAX(P66-Z66,0)</f>
        <v>20200</v>
      </c>
      <c r="AB66" s="11" t="n">
        <f aca="false">SUMPRODUCT((AA66&gt;'Tax Tables'!$A$5:$A$17)*(AA66-'Tax Tables'!$A$5:$A$17)*'Tax Tables'!$C$5:$C$17)</f>
        <v>4</v>
      </c>
      <c r="AC66" s="11" t="n">
        <f aca="false">IF(W66&lt;0,-1E+099,P66-T66-AB66+Y66+(T66+U66)*Calculator!$B$9)</f>
        <v>354636.8625</v>
      </c>
    </row>
    <row r="67" customFormat="false" ht="15" hidden="false" customHeight="false" outlineLevel="0" collapsed="false">
      <c r="A67" s="11" t="n">
        <f aca="false">54*$B$3</f>
        <v>27000</v>
      </c>
      <c r="B67" s="11" t="n">
        <f aca="false">0</f>
        <v>0</v>
      </c>
      <c r="C67" s="11" t="n">
        <f aca="false">A67-B67</f>
        <v>27000</v>
      </c>
      <c r="D67" s="11" t="n">
        <f aca="false">IF(Calculator!$B$6="Yes",MIN(B67,'Tax Tables'!$B$31*'Tax Tables'!$B$32),0)</f>
        <v>0</v>
      </c>
      <c r="E67" s="11" t="n">
        <f aca="false">D67*Calculator!$B$7</f>
        <v>0</v>
      </c>
      <c r="F67" s="11" t="n">
        <f aca="false">D67*Calculator!$B$8</f>
        <v>0</v>
      </c>
      <c r="G67" s="11" t="n">
        <f aca="false">IF(B67&gt;0,'Tax Tables'!$B$32*MIN(MAX(B67/'Tax Tables'!$B$32*'Tax Tables'!$B$33,'Tax Tables'!$B$34),'Tax Tables'!$B$35),0)</f>
        <v>0</v>
      </c>
      <c r="H67" s="11" t="n">
        <f aca="false">Calculator!$B$5-A67-F67-G67</f>
        <v>373000</v>
      </c>
      <c r="I67" s="11" t="n">
        <f aca="false">'Tax Tables'!$B$22*(MAX(H67,0)-IF(Calculator!$B$10="Yes",MIN(MAX(H67,0),'Tax Tables'!$B$27)*'Tax Tables'!$B$28+MIN(MAX(MAX(H67,0)-'Tax Tables'!$B$27,0),'Tax Tables'!$B$29)*'Tax Tables'!$B$30,MIN(MAX(H67,0),'Tax Tables'!$B$23)*'Tax Tables'!$B$24+MIN(MAX(MAX(H67,0)-'Tax Tables'!$B$23,0),'Tax Tables'!$B$25)*'Tax Tables'!$B$26))*1-MIN('Tax Tables'!$B$22*(MAX(H67,0)-IF(Calculator!$B$10="Yes",MIN(MAX(H67,0),'Tax Tables'!$B$27)*'Tax Tables'!$B$28+MIN(MAX(MAX(H67,0)-'Tax Tables'!$B$27,0),'Tax Tables'!$B$29)*'Tax Tables'!$B$30,MIN(MAX(H67,0),'Tax Tables'!$B$23)*'Tax Tables'!$B$24+MIN(MAX(MAX(H67,0)-'Tax Tables'!$B$23,0),'Tax Tables'!$B$25)*'Tax Tables'!$B$26))*Calculator!$B$11,Calculator!$B$12)</f>
        <v>45985</v>
      </c>
      <c r="J67" s="11" t="n">
        <f aca="false">MAX(H67,0)-I67</f>
        <v>327015</v>
      </c>
      <c r="K67" s="11" t="n">
        <f aca="false">MIN(IF(A67&gt;0,Calculator!$B$13,0)+E67+Calculator!$B$14,'Tax Tables'!$B$36)</f>
        <v>1000</v>
      </c>
      <c r="L67" s="11" t="n">
        <f aca="false">MAX(A67-K67,0)</f>
        <v>26000</v>
      </c>
      <c r="M67" s="11" t="n">
        <f aca="false">SUMPRODUCT((L67&gt;'Tax Tables'!$A$5:$A$17)*(L67-'Tax Tables'!$A$5:$A$17)*'Tax Tables'!$C$5:$C$17)</f>
        <v>120</v>
      </c>
      <c r="N67" s="11" t="n">
        <f aca="false">IF(H67&lt;0,-1E+099,A67-E67-M67+J67+(E67+F67)*Calculator!$B$9)</f>
        <v>353895</v>
      </c>
      <c r="O67" s="2"/>
      <c r="P67" s="11" t="n">
        <f aca="false">54*$B$3</f>
        <v>27000</v>
      </c>
      <c r="Q67" s="11" t="n">
        <f aca="false">MIN(P67,'Tax Tables'!$B$31*'Tax Tables'!$B$32)</f>
        <v>27000</v>
      </c>
      <c r="R67" s="11" t="n">
        <f aca="false">P67-Q67</f>
        <v>0</v>
      </c>
      <c r="S67" s="11" t="n">
        <f aca="false">IF(Calculator!$B$6="Yes",MIN(Q67,'Tax Tables'!$B$31*'Tax Tables'!$B$32),0)</f>
        <v>27000</v>
      </c>
      <c r="T67" s="11" t="n">
        <f aca="false">S67*Calculator!$B$7</f>
        <v>5400</v>
      </c>
      <c r="U67" s="11" t="n">
        <f aca="false">S67*Calculator!$B$8</f>
        <v>4590</v>
      </c>
      <c r="V67" s="11" t="n">
        <f aca="false">IF(Q67&gt;0,'Tax Tables'!$B$32*MIN(MAX(Q67/'Tax Tables'!$B$32*'Tax Tables'!$B$33,'Tax Tables'!$B$34),'Tax Tables'!$B$35),0)</f>
        <v>67.5</v>
      </c>
      <c r="W67" s="11" t="n">
        <f aca="false">Calculator!$B$5-P67-U67-V67</f>
        <v>368342.5</v>
      </c>
      <c r="X67" s="11" t="n">
        <f aca="false">'Tax Tables'!$B$22*(MAX(W67,0)-IF(Calculator!$B$10="Yes",MIN(MAX(W67,0),'Tax Tables'!$B$27)*'Tax Tables'!$B$28+MIN(MAX(MAX(W67,0)-'Tax Tables'!$B$27,0),'Tax Tables'!$B$29)*'Tax Tables'!$B$30,MIN(MAX(W67,0),'Tax Tables'!$B$23)*'Tax Tables'!$B$24+MIN(MAX(MAX(W67,0)-'Tax Tables'!$B$23,0),'Tax Tables'!$B$25)*'Tax Tables'!$B$26))*1-MIN('Tax Tables'!$B$22*(MAX(W67,0)-IF(Calculator!$B$10="Yes",MIN(MAX(W67,0),'Tax Tables'!$B$27)*'Tax Tables'!$B$28+MIN(MAX(MAX(W67,0)-'Tax Tables'!$B$27,0),'Tax Tables'!$B$29)*'Tax Tables'!$B$30,MIN(MAX(W67,0),'Tax Tables'!$B$23)*'Tax Tables'!$B$24+MIN(MAX(MAX(W67,0)-'Tax Tables'!$B$23,0),'Tax Tables'!$B$25)*'Tax Tables'!$B$26))*Calculator!$B$11,Calculator!$B$12)</f>
        <v>45193.225</v>
      </c>
      <c r="Y67" s="11" t="n">
        <f aca="false">MAX(W67,0)-X67</f>
        <v>323149.275</v>
      </c>
      <c r="Z67" s="11" t="n">
        <f aca="false">MIN(IF(P67&gt;0,Calculator!$B$13,0)+T67+Calculator!$B$14,'Tax Tables'!$B$36)</f>
        <v>6400</v>
      </c>
      <c r="AA67" s="11" t="n">
        <f aca="false">MAX(P67-Z67,0)</f>
        <v>20600</v>
      </c>
      <c r="AB67" s="11" t="n">
        <f aca="false">SUMPRODUCT((AA67&gt;'Tax Tables'!$A$5:$A$17)*(AA67-'Tax Tables'!$A$5:$A$17)*'Tax Tables'!$C$5:$C$17)</f>
        <v>12</v>
      </c>
      <c r="AC67" s="11" t="n">
        <f aca="false">IF(W67&lt;0,-1E+099,P67-T67-AB67+Y67+(T67+U67)*Calculator!$B$9)</f>
        <v>354727.275</v>
      </c>
    </row>
    <row r="68" customFormat="false" ht="15" hidden="false" customHeight="false" outlineLevel="0" collapsed="false">
      <c r="A68" s="11" t="n">
        <f aca="false">55*$B$3</f>
        <v>27500</v>
      </c>
      <c r="B68" s="11" t="n">
        <f aca="false">0</f>
        <v>0</v>
      </c>
      <c r="C68" s="11" t="n">
        <f aca="false">A68-B68</f>
        <v>27500</v>
      </c>
      <c r="D68" s="11" t="n">
        <f aca="false">IF(Calculator!$B$6="Yes",MIN(B68,'Tax Tables'!$B$31*'Tax Tables'!$B$32),0)</f>
        <v>0</v>
      </c>
      <c r="E68" s="11" t="n">
        <f aca="false">D68*Calculator!$B$7</f>
        <v>0</v>
      </c>
      <c r="F68" s="11" t="n">
        <f aca="false">D68*Calculator!$B$8</f>
        <v>0</v>
      </c>
      <c r="G68" s="11" t="n">
        <f aca="false">IF(B68&gt;0,'Tax Tables'!$B$32*MIN(MAX(B68/'Tax Tables'!$B$32*'Tax Tables'!$B$33,'Tax Tables'!$B$34),'Tax Tables'!$B$35),0)</f>
        <v>0</v>
      </c>
      <c r="H68" s="11" t="n">
        <f aca="false">Calculator!$B$5-A68-F68-G68</f>
        <v>372500</v>
      </c>
      <c r="I68" s="11" t="n">
        <f aca="false">'Tax Tables'!$B$22*(MAX(H68,0)-IF(Calculator!$B$10="Yes",MIN(MAX(H68,0),'Tax Tables'!$B$27)*'Tax Tables'!$B$28+MIN(MAX(MAX(H68,0)-'Tax Tables'!$B$27,0),'Tax Tables'!$B$29)*'Tax Tables'!$B$30,MIN(MAX(H68,0),'Tax Tables'!$B$23)*'Tax Tables'!$B$24+MIN(MAX(MAX(H68,0)-'Tax Tables'!$B$23,0),'Tax Tables'!$B$25)*'Tax Tables'!$B$26))*1-MIN('Tax Tables'!$B$22*(MAX(H68,0)-IF(Calculator!$B$10="Yes",MIN(MAX(H68,0),'Tax Tables'!$B$27)*'Tax Tables'!$B$28+MIN(MAX(MAX(H68,0)-'Tax Tables'!$B$27,0),'Tax Tables'!$B$29)*'Tax Tables'!$B$30,MIN(MAX(H68,0),'Tax Tables'!$B$23)*'Tax Tables'!$B$24+MIN(MAX(MAX(H68,0)-'Tax Tables'!$B$23,0),'Tax Tables'!$B$25)*'Tax Tables'!$B$26))*Calculator!$B$11,Calculator!$B$12)</f>
        <v>45900</v>
      </c>
      <c r="J68" s="11" t="n">
        <f aca="false">MAX(H68,0)-I68</f>
        <v>326600</v>
      </c>
      <c r="K68" s="11" t="n">
        <f aca="false">MIN(IF(A68&gt;0,Calculator!$B$13,0)+E68+Calculator!$B$14,'Tax Tables'!$B$36)</f>
        <v>1000</v>
      </c>
      <c r="L68" s="11" t="n">
        <f aca="false">MAX(A68-K68,0)</f>
        <v>26500</v>
      </c>
      <c r="M68" s="11" t="n">
        <f aca="false">SUMPRODUCT((L68&gt;'Tax Tables'!$A$5:$A$17)*(L68-'Tax Tables'!$A$5:$A$17)*'Tax Tables'!$C$5:$C$17)</f>
        <v>130</v>
      </c>
      <c r="N68" s="11" t="n">
        <f aca="false">IF(H68&lt;0,-1E+099,A68-E68-M68+J68+(E68+F68)*Calculator!$B$9)</f>
        <v>353970</v>
      </c>
      <c r="O68" s="2"/>
      <c r="P68" s="11" t="n">
        <f aca="false">55*$B$3</f>
        <v>27500</v>
      </c>
      <c r="Q68" s="11" t="n">
        <f aca="false">MIN(P68,'Tax Tables'!$B$31*'Tax Tables'!$B$32)</f>
        <v>27500</v>
      </c>
      <c r="R68" s="11" t="n">
        <f aca="false">P68-Q68</f>
        <v>0</v>
      </c>
      <c r="S68" s="11" t="n">
        <f aca="false">IF(Calculator!$B$6="Yes",MIN(Q68,'Tax Tables'!$B$31*'Tax Tables'!$B$32),0)</f>
        <v>27500</v>
      </c>
      <c r="T68" s="11" t="n">
        <f aca="false">S68*Calculator!$B$7</f>
        <v>5500</v>
      </c>
      <c r="U68" s="11" t="n">
        <f aca="false">S68*Calculator!$B$8</f>
        <v>4675</v>
      </c>
      <c r="V68" s="11" t="n">
        <f aca="false">IF(Q68&gt;0,'Tax Tables'!$B$32*MIN(MAX(Q68/'Tax Tables'!$B$32*'Tax Tables'!$B$33,'Tax Tables'!$B$34),'Tax Tables'!$B$35),0)</f>
        <v>68.75</v>
      </c>
      <c r="W68" s="11" t="n">
        <f aca="false">Calculator!$B$5-P68-U68-V68</f>
        <v>367756.25</v>
      </c>
      <c r="X68" s="11" t="n">
        <f aca="false">'Tax Tables'!$B$22*(MAX(W68,0)-IF(Calculator!$B$10="Yes",MIN(MAX(W68,0),'Tax Tables'!$B$27)*'Tax Tables'!$B$28+MIN(MAX(MAX(W68,0)-'Tax Tables'!$B$27,0),'Tax Tables'!$B$29)*'Tax Tables'!$B$30,MIN(MAX(W68,0),'Tax Tables'!$B$23)*'Tax Tables'!$B$24+MIN(MAX(MAX(W68,0)-'Tax Tables'!$B$23,0),'Tax Tables'!$B$25)*'Tax Tables'!$B$26))*1-MIN('Tax Tables'!$B$22*(MAX(W68,0)-IF(Calculator!$B$10="Yes",MIN(MAX(W68,0),'Tax Tables'!$B$27)*'Tax Tables'!$B$28+MIN(MAX(MAX(W68,0)-'Tax Tables'!$B$27,0),'Tax Tables'!$B$29)*'Tax Tables'!$B$30,MIN(MAX(W68,0),'Tax Tables'!$B$23)*'Tax Tables'!$B$24+MIN(MAX(MAX(W68,0)-'Tax Tables'!$B$23,0),'Tax Tables'!$B$25)*'Tax Tables'!$B$26))*Calculator!$B$11,Calculator!$B$12)</f>
        <v>45093.5625</v>
      </c>
      <c r="Y68" s="11" t="n">
        <f aca="false">MAX(W68,0)-X68</f>
        <v>322662.6875</v>
      </c>
      <c r="Z68" s="11" t="n">
        <f aca="false">MIN(IF(P68&gt;0,Calculator!$B$13,0)+T68+Calculator!$B$14,'Tax Tables'!$B$36)</f>
        <v>6500</v>
      </c>
      <c r="AA68" s="11" t="n">
        <f aca="false">MAX(P68-Z68,0)</f>
        <v>21000</v>
      </c>
      <c r="AB68" s="11" t="n">
        <f aca="false">SUMPRODUCT((AA68&gt;'Tax Tables'!$A$5:$A$17)*(AA68-'Tax Tables'!$A$5:$A$17)*'Tax Tables'!$C$5:$C$17)</f>
        <v>20</v>
      </c>
      <c r="AC68" s="11" t="n">
        <f aca="false">IF(W68&lt;0,-1E+099,P68-T68-AB68+Y68+(T68+U68)*Calculator!$B$9)</f>
        <v>354817.6875</v>
      </c>
    </row>
    <row r="69" customFormat="false" ht="15" hidden="false" customHeight="false" outlineLevel="0" collapsed="false">
      <c r="A69" s="11" t="n">
        <f aca="false">56*$B$3</f>
        <v>28000</v>
      </c>
      <c r="B69" s="11" t="n">
        <f aca="false">0</f>
        <v>0</v>
      </c>
      <c r="C69" s="11" t="n">
        <f aca="false">A69-B69</f>
        <v>28000</v>
      </c>
      <c r="D69" s="11" t="n">
        <f aca="false">IF(Calculator!$B$6="Yes",MIN(B69,'Tax Tables'!$B$31*'Tax Tables'!$B$32),0)</f>
        <v>0</v>
      </c>
      <c r="E69" s="11" t="n">
        <f aca="false">D69*Calculator!$B$7</f>
        <v>0</v>
      </c>
      <c r="F69" s="11" t="n">
        <f aca="false">D69*Calculator!$B$8</f>
        <v>0</v>
      </c>
      <c r="G69" s="11" t="n">
        <f aca="false">IF(B69&gt;0,'Tax Tables'!$B$32*MIN(MAX(B69/'Tax Tables'!$B$32*'Tax Tables'!$B$33,'Tax Tables'!$B$34),'Tax Tables'!$B$35),0)</f>
        <v>0</v>
      </c>
      <c r="H69" s="11" t="n">
        <f aca="false">Calculator!$B$5-A69-F69-G69</f>
        <v>372000</v>
      </c>
      <c r="I69" s="11" t="n">
        <f aca="false">'Tax Tables'!$B$22*(MAX(H69,0)-IF(Calculator!$B$10="Yes",MIN(MAX(H69,0),'Tax Tables'!$B$27)*'Tax Tables'!$B$28+MIN(MAX(MAX(H69,0)-'Tax Tables'!$B$27,0),'Tax Tables'!$B$29)*'Tax Tables'!$B$30,MIN(MAX(H69,0),'Tax Tables'!$B$23)*'Tax Tables'!$B$24+MIN(MAX(MAX(H69,0)-'Tax Tables'!$B$23,0),'Tax Tables'!$B$25)*'Tax Tables'!$B$26))*1-MIN('Tax Tables'!$B$22*(MAX(H69,0)-IF(Calculator!$B$10="Yes",MIN(MAX(H69,0),'Tax Tables'!$B$27)*'Tax Tables'!$B$28+MIN(MAX(MAX(H69,0)-'Tax Tables'!$B$27,0),'Tax Tables'!$B$29)*'Tax Tables'!$B$30,MIN(MAX(H69,0),'Tax Tables'!$B$23)*'Tax Tables'!$B$24+MIN(MAX(MAX(H69,0)-'Tax Tables'!$B$23,0),'Tax Tables'!$B$25)*'Tax Tables'!$B$26))*Calculator!$B$11,Calculator!$B$12)</f>
        <v>45815</v>
      </c>
      <c r="J69" s="11" t="n">
        <f aca="false">MAX(H69,0)-I69</f>
        <v>326185</v>
      </c>
      <c r="K69" s="11" t="n">
        <f aca="false">MIN(IF(A69&gt;0,Calculator!$B$13,0)+E69+Calculator!$B$14,'Tax Tables'!$B$36)</f>
        <v>1000</v>
      </c>
      <c r="L69" s="11" t="n">
        <f aca="false">MAX(A69-K69,0)</f>
        <v>27000</v>
      </c>
      <c r="M69" s="11" t="n">
        <f aca="false">SUMPRODUCT((L69&gt;'Tax Tables'!$A$5:$A$17)*(L69-'Tax Tables'!$A$5:$A$17)*'Tax Tables'!$C$5:$C$17)</f>
        <v>140</v>
      </c>
      <c r="N69" s="11" t="n">
        <f aca="false">IF(H69&lt;0,-1E+099,A69-E69-M69+J69+(E69+F69)*Calculator!$B$9)</f>
        <v>354045</v>
      </c>
      <c r="O69" s="2"/>
      <c r="P69" s="11" t="n">
        <f aca="false">56*$B$3</f>
        <v>28000</v>
      </c>
      <c r="Q69" s="11" t="n">
        <f aca="false">MIN(P69,'Tax Tables'!$B$31*'Tax Tables'!$B$32)</f>
        <v>28000</v>
      </c>
      <c r="R69" s="11" t="n">
        <f aca="false">P69-Q69</f>
        <v>0</v>
      </c>
      <c r="S69" s="11" t="n">
        <f aca="false">IF(Calculator!$B$6="Yes",MIN(Q69,'Tax Tables'!$B$31*'Tax Tables'!$B$32),0)</f>
        <v>28000</v>
      </c>
      <c r="T69" s="11" t="n">
        <f aca="false">S69*Calculator!$B$7</f>
        <v>5600</v>
      </c>
      <c r="U69" s="11" t="n">
        <f aca="false">S69*Calculator!$B$8</f>
        <v>4760</v>
      </c>
      <c r="V69" s="11" t="n">
        <f aca="false">IF(Q69&gt;0,'Tax Tables'!$B$32*MIN(MAX(Q69/'Tax Tables'!$B$32*'Tax Tables'!$B$33,'Tax Tables'!$B$34),'Tax Tables'!$B$35),0)</f>
        <v>70</v>
      </c>
      <c r="W69" s="11" t="n">
        <f aca="false">Calculator!$B$5-P69-U69-V69</f>
        <v>367170</v>
      </c>
      <c r="X69" s="11" t="n">
        <f aca="false">'Tax Tables'!$B$22*(MAX(W69,0)-IF(Calculator!$B$10="Yes",MIN(MAX(W69,0),'Tax Tables'!$B$27)*'Tax Tables'!$B$28+MIN(MAX(MAX(W69,0)-'Tax Tables'!$B$27,0),'Tax Tables'!$B$29)*'Tax Tables'!$B$30,MIN(MAX(W69,0),'Tax Tables'!$B$23)*'Tax Tables'!$B$24+MIN(MAX(MAX(W69,0)-'Tax Tables'!$B$23,0),'Tax Tables'!$B$25)*'Tax Tables'!$B$26))*1-MIN('Tax Tables'!$B$22*(MAX(W69,0)-IF(Calculator!$B$10="Yes",MIN(MAX(W69,0),'Tax Tables'!$B$27)*'Tax Tables'!$B$28+MIN(MAX(MAX(W69,0)-'Tax Tables'!$B$27,0),'Tax Tables'!$B$29)*'Tax Tables'!$B$30,MIN(MAX(W69,0),'Tax Tables'!$B$23)*'Tax Tables'!$B$24+MIN(MAX(MAX(W69,0)-'Tax Tables'!$B$23,0),'Tax Tables'!$B$25)*'Tax Tables'!$B$26))*Calculator!$B$11,Calculator!$B$12)</f>
        <v>44993.9</v>
      </c>
      <c r="Y69" s="11" t="n">
        <f aca="false">MAX(W69,0)-X69</f>
        <v>322176.1</v>
      </c>
      <c r="Z69" s="11" t="n">
        <f aca="false">MIN(IF(P69&gt;0,Calculator!$B$13,0)+T69+Calculator!$B$14,'Tax Tables'!$B$36)</f>
        <v>6600</v>
      </c>
      <c r="AA69" s="11" t="n">
        <f aca="false">MAX(P69-Z69,0)</f>
        <v>21400</v>
      </c>
      <c r="AB69" s="11" t="n">
        <f aca="false">SUMPRODUCT((AA69&gt;'Tax Tables'!$A$5:$A$17)*(AA69-'Tax Tables'!$A$5:$A$17)*'Tax Tables'!$C$5:$C$17)</f>
        <v>28</v>
      </c>
      <c r="AC69" s="11" t="n">
        <f aca="false">IF(W69&lt;0,-1E+099,P69-T69-AB69+Y69+(T69+U69)*Calculator!$B$9)</f>
        <v>354908.1</v>
      </c>
    </row>
    <row r="70" customFormat="false" ht="15" hidden="false" customHeight="false" outlineLevel="0" collapsed="false">
      <c r="A70" s="11" t="n">
        <f aca="false">57*$B$3</f>
        <v>28500</v>
      </c>
      <c r="B70" s="11" t="n">
        <f aca="false">0</f>
        <v>0</v>
      </c>
      <c r="C70" s="11" t="n">
        <f aca="false">A70-B70</f>
        <v>28500</v>
      </c>
      <c r="D70" s="11" t="n">
        <f aca="false">IF(Calculator!$B$6="Yes",MIN(B70,'Tax Tables'!$B$31*'Tax Tables'!$B$32),0)</f>
        <v>0</v>
      </c>
      <c r="E70" s="11" t="n">
        <f aca="false">D70*Calculator!$B$7</f>
        <v>0</v>
      </c>
      <c r="F70" s="11" t="n">
        <f aca="false">D70*Calculator!$B$8</f>
        <v>0</v>
      </c>
      <c r="G70" s="11" t="n">
        <f aca="false">IF(B70&gt;0,'Tax Tables'!$B$32*MIN(MAX(B70/'Tax Tables'!$B$32*'Tax Tables'!$B$33,'Tax Tables'!$B$34),'Tax Tables'!$B$35),0)</f>
        <v>0</v>
      </c>
      <c r="H70" s="11" t="n">
        <f aca="false">Calculator!$B$5-A70-F70-G70</f>
        <v>371500</v>
      </c>
      <c r="I70" s="11" t="n">
        <f aca="false">'Tax Tables'!$B$22*(MAX(H70,0)-IF(Calculator!$B$10="Yes",MIN(MAX(H70,0),'Tax Tables'!$B$27)*'Tax Tables'!$B$28+MIN(MAX(MAX(H70,0)-'Tax Tables'!$B$27,0),'Tax Tables'!$B$29)*'Tax Tables'!$B$30,MIN(MAX(H70,0),'Tax Tables'!$B$23)*'Tax Tables'!$B$24+MIN(MAX(MAX(H70,0)-'Tax Tables'!$B$23,0),'Tax Tables'!$B$25)*'Tax Tables'!$B$26))*1-MIN('Tax Tables'!$B$22*(MAX(H70,0)-IF(Calculator!$B$10="Yes",MIN(MAX(H70,0),'Tax Tables'!$B$27)*'Tax Tables'!$B$28+MIN(MAX(MAX(H70,0)-'Tax Tables'!$B$27,0),'Tax Tables'!$B$29)*'Tax Tables'!$B$30,MIN(MAX(H70,0),'Tax Tables'!$B$23)*'Tax Tables'!$B$24+MIN(MAX(MAX(H70,0)-'Tax Tables'!$B$23,0),'Tax Tables'!$B$25)*'Tax Tables'!$B$26))*Calculator!$B$11,Calculator!$B$12)</f>
        <v>45730</v>
      </c>
      <c r="J70" s="11" t="n">
        <f aca="false">MAX(H70,0)-I70</f>
        <v>325770</v>
      </c>
      <c r="K70" s="11" t="n">
        <f aca="false">MIN(IF(A70&gt;0,Calculator!$B$13,0)+E70+Calculator!$B$14,'Tax Tables'!$B$36)</f>
        <v>1000</v>
      </c>
      <c r="L70" s="11" t="n">
        <f aca="false">MAX(A70-K70,0)</f>
        <v>27500</v>
      </c>
      <c r="M70" s="11" t="n">
        <f aca="false">SUMPRODUCT((L70&gt;'Tax Tables'!$A$5:$A$17)*(L70-'Tax Tables'!$A$5:$A$17)*'Tax Tables'!$C$5:$C$17)</f>
        <v>150</v>
      </c>
      <c r="N70" s="11" t="n">
        <f aca="false">IF(H70&lt;0,-1E+099,A70-E70-M70+J70+(E70+F70)*Calculator!$B$9)</f>
        <v>354120</v>
      </c>
      <c r="O70" s="2"/>
      <c r="P70" s="11" t="n">
        <f aca="false">57*$B$3</f>
        <v>28500</v>
      </c>
      <c r="Q70" s="11" t="n">
        <f aca="false">MIN(P70,'Tax Tables'!$B$31*'Tax Tables'!$B$32)</f>
        <v>28500</v>
      </c>
      <c r="R70" s="11" t="n">
        <f aca="false">P70-Q70</f>
        <v>0</v>
      </c>
      <c r="S70" s="11" t="n">
        <f aca="false">IF(Calculator!$B$6="Yes",MIN(Q70,'Tax Tables'!$B$31*'Tax Tables'!$B$32),0)</f>
        <v>28500</v>
      </c>
      <c r="T70" s="11" t="n">
        <f aca="false">S70*Calculator!$B$7</f>
        <v>5700</v>
      </c>
      <c r="U70" s="11" t="n">
        <f aca="false">S70*Calculator!$B$8</f>
        <v>4845</v>
      </c>
      <c r="V70" s="11" t="n">
        <f aca="false">IF(Q70&gt;0,'Tax Tables'!$B$32*MIN(MAX(Q70/'Tax Tables'!$B$32*'Tax Tables'!$B$33,'Tax Tables'!$B$34),'Tax Tables'!$B$35),0)</f>
        <v>71.25</v>
      </c>
      <c r="W70" s="11" t="n">
        <f aca="false">Calculator!$B$5-P70-U70-V70</f>
        <v>366583.75</v>
      </c>
      <c r="X70" s="11" t="n">
        <f aca="false">'Tax Tables'!$B$22*(MAX(W70,0)-IF(Calculator!$B$10="Yes",MIN(MAX(W70,0),'Tax Tables'!$B$27)*'Tax Tables'!$B$28+MIN(MAX(MAX(W70,0)-'Tax Tables'!$B$27,0),'Tax Tables'!$B$29)*'Tax Tables'!$B$30,MIN(MAX(W70,0),'Tax Tables'!$B$23)*'Tax Tables'!$B$24+MIN(MAX(MAX(W70,0)-'Tax Tables'!$B$23,0),'Tax Tables'!$B$25)*'Tax Tables'!$B$26))*1-MIN('Tax Tables'!$B$22*(MAX(W70,0)-IF(Calculator!$B$10="Yes",MIN(MAX(W70,0),'Tax Tables'!$B$27)*'Tax Tables'!$B$28+MIN(MAX(MAX(W70,0)-'Tax Tables'!$B$27,0),'Tax Tables'!$B$29)*'Tax Tables'!$B$30,MIN(MAX(W70,0),'Tax Tables'!$B$23)*'Tax Tables'!$B$24+MIN(MAX(MAX(W70,0)-'Tax Tables'!$B$23,0),'Tax Tables'!$B$25)*'Tax Tables'!$B$26))*Calculator!$B$11,Calculator!$B$12)</f>
        <v>44894.2375</v>
      </c>
      <c r="Y70" s="11" t="n">
        <f aca="false">MAX(W70,0)-X70</f>
        <v>321689.5125</v>
      </c>
      <c r="Z70" s="11" t="n">
        <f aca="false">MIN(IF(P70&gt;0,Calculator!$B$13,0)+T70+Calculator!$B$14,'Tax Tables'!$B$36)</f>
        <v>6700</v>
      </c>
      <c r="AA70" s="11" t="n">
        <f aca="false">MAX(P70-Z70,0)</f>
        <v>21800</v>
      </c>
      <c r="AB70" s="11" t="n">
        <f aca="false">SUMPRODUCT((AA70&gt;'Tax Tables'!$A$5:$A$17)*(AA70-'Tax Tables'!$A$5:$A$17)*'Tax Tables'!$C$5:$C$17)</f>
        <v>36</v>
      </c>
      <c r="AC70" s="11" t="n">
        <f aca="false">IF(W70&lt;0,-1E+099,P70-T70-AB70+Y70+(T70+U70)*Calculator!$B$9)</f>
        <v>354998.5125</v>
      </c>
    </row>
    <row r="71" customFormat="false" ht="15" hidden="false" customHeight="false" outlineLevel="0" collapsed="false">
      <c r="A71" s="11" t="n">
        <f aca="false">58*$B$3</f>
        <v>29000</v>
      </c>
      <c r="B71" s="11" t="n">
        <f aca="false">0</f>
        <v>0</v>
      </c>
      <c r="C71" s="11" t="n">
        <f aca="false">A71-B71</f>
        <v>29000</v>
      </c>
      <c r="D71" s="11" t="n">
        <f aca="false">IF(Calculator!$B$6="Yes",MIN(B71,'Tax Tables'!$B$31*'Tax Tables'!$B$32),0)</f>
        <v>0</v>
      </c>
      <c r="E71" s="11" t="n">
        <f aca="false">D71*Calculator!$B$7</f>
        <v>0</v>
      </c>
      <c r="F71" s="11" t="n">
        <f aca="false">D71*Calculator!$B$8</f>
        <v>0</v>
      </c>
      <c r="G71" s="11" t="n">
        <f aca="false">IF(B71&gt;0,'Tax Tables'!$B$32*MIN(MAX(B71/'Tax Tables'!$B$32*'Tax Tables'!$B$33,'Tax Tables'!$B$34),'Tax Tables'!$B$35),0)</f>
        <v>0</v>
      </c>
      <c r="H71" s="11" t="n">
        <f aca="false">Calculator!$B$5-A71-F71-G71</f>
        <v>371000</v>
      </c>
      <c r="I71" s="11" t="n">
        <f aca="false">'Tax Tables'!$B$22*(MAX(H71,0)-IF(Calculator!$B$10="Yes",MIN(MAX(H71,0),'Tax Tables'!$B$27)*'Tax Tables'!$B$28+MIN(MAX(MAX(H71,0)-'Tax Tables'!$B$27,0),'Tax Tables'!$B$29)*'Tax Tables'!$B$30,MIN(MAX(H71,0),'Tax Tables'!$B$23)*'Tax Tables'!$B$24+MIN(MAX(MAX(H71,0)-'Tax Tables'!$B$23,0),'Tax Tables'!$B$25)*'Tax Tables'!$B$26))*1-MIN('Tax Tables'!$B$22*(MAX(H71,0)-IF(Calculator!$B$10="Yes",MIN(MAX(H71,0),'Tax Tables'!$B$27)*'Tax Tables'!$B$28+MIN(MAX(MAX(H71,0)-'Tax Tables'!$B$27,0),'Tax Tables'!$B$29)*'Tax Tables'!$B$30,MIN(MAX(H71,0),'Tax Tables'!$B$23)*'Tax Tables'!$B$24+MIN(MAX(MAX(H71,0)-'Tax Tables'!$B$23,0),'Tax Tables'!$B$25)*'Tax Tables'!$B$26))*Calculator!$B$11,Calculator!$B$12)</f>
        <v>45645</v>
      </c>
      <c r="J71" s="11" t="n">
        <f aca="false">MAX(H71,0)-I71</f>
        <v>325355</v>
      </c>
      <c r="K71" s="11" t="n">
        <f aca="false">MIN(IF(A71&gt;0,Calculator!$B$13,0)+E71+Calculator!$B$14,'Tax Tables'!$B$36)</f>
        <v>1000</v>
      </c>
      <c r="L71" s="11" t="n">
        <f aca="false">MAX(A71-K71,0)</f>
        <v>28000</v>
      </c>
      <c r="M71" s="11" t="n">
        <f aca="false">SUMPRODUCT((L71&gt;'Tax Tables'!$A$5:$A$17)*(L71-'Tax Tables'!$A$5:$A$17)*'Tax Tables'!$C$5:$C$17)</f>
        <v>160</v>
      </c>
      <c r="N71" s="11" t="n">
        <f aca="false">IF(H71&lt;0,-1E+099,A71-E71-M71+J71+(E71+F71)*Calculator!$B$9)</f>
        <v>354195</v>
      </c>
      <c r="O71" s="2"/>
      <c r="P71" s="11" t="n">
        <f aca="false">58*$B$3</f>
        <v>29000</v>
      </c>
      <c r="Q71" s="11" t="n">
        <f aca="false">MIN(P71,'Tax Tables'!$B$31*'Tax Tables'!$B$32)</f>
        <v>29000</v>
      </c>
      <c r="R71" s="11" t="n">
        <f aca="false">P71-Q71</f>
        <v>0</v>
      </c>
      <c r="S71" s="11" t="n">
        <f aca="false">IF(Calculator!$B$6="Yes",MIN(Q71,'Tax Tables'!$B$31*'Tax Tables'!$B$32),0)</f>
        <v>29000</v>
      </c>
      <c r="T71" s="11" t="n">
        <f aca="false">S71*Calculator!$B$7</f>
        <v>5800</v>
      </c>
      <c r="U71" s="11" t="n">
        <f aca="false">S71*Calculator!$B$8</f>
        <v>4930</v>
      </c>
      <c r="V71" s="11" t="n">
        <f aca="false">IF(Q71&gt;0,'Tax Tables'!$B$32*MIN(MAX(Q71/'Tax Tables'!$B$32*'Tax Tables'!$B$33,'Tax Tables'!$B$34),'Tax Tables'!$B$35),0)</f>
        <v>72.5</v>
      </c>
      <c r="W71" s="11" t="n">
        <f aca="false">Calculator!$B$5-P71-U71-V71</f>
        <v>365997.5</v>
      </c>
      <c r="X71" s="11" t="n">
        <f aca="false">'Tax Tables'!$B$22*(MAX(W71,0)-IF(Calculator!$B$10="Yes",MIN(MAX(W71,0),'Tax Tables'!$B$27)*'Tax Tables'!$B$28+MIN(MAX(MAX(W71,0)-'Tax Tables'!$B$27,0),'Tax Tables'!$B$29)*'Tax Tables'!$B$30,MIN(MAX(W71,0),'Tax Tables'!$B$23)*'Tax Tables'!$B$24+MIN(MAX(MAX(W71,0)-'Tax Tables'!$B$23,0),'Tax Tables'!$B$25)*'Tax Tables'!$B$26))*1-MIN('Tax Tables'!$B$22*(MAX(W71,0)-IF(Calculator!$B$10="Yes",MIN(MAX(W71,0),'Tax Tables'!$B$27)*'Tax Tables'!$B$28+MIN(MAX(MAX(W71,0)-'Tax Tables'!$B$27,0),'Tax Tables'!$B$29)*'Tax Tables'!$B$30,MIN(MAX(W71,0),'Tax Tables'!$B$23)*'Tax Tables'!$B$24+MIN(MAX(MAX(W71,0)-'Tax Tables'!$B$23,0),'Tax Tables'!$B$25)*'Tax Tables'!$B$26))*Calculator!$B$11,Calculator!$B$12)</f>
        <v>44794.575</v>
      </c>
      <c r="Y71" s="11" t="n">
        <f aca="false">MAX(W71,0)-X71</f>
        <v>321202.925</v>
      </c>
      <c r="Z71" s="11" t="n">
        <f aca="false">MIN(IF(P71&gt;0,Calculator!$B$13,0)+T71+Calculator!$B$14,'Tax Tables'!$B$36)</f>
        <v>6800</v>
      </c>
      <c r="AA71" s="11" t="n">
        <f aca="false">MAX(P71-Z71,0)</f>
        <v>22200</v>
      </c>
      <c r="AB71" s="11" t="n">
        <f aca="false">SUMPRODUCT((AA71&gt;'Tax Tables'!$A$5:$A$17)*(AA71-'Tax Tables'!$A$5:$A$17)*'Tax Tables'!$C$5:$C$17)</f>
        <v>44</v>
      </c>
      <c r="AC71" s="11" t="n">
        <f aca="false">IF(W71&lt;0,-1E+099,P71-T71-AB71+Y71+(T71+U71)*Calculator!$B$9)</f>
        <v>355088.925</v>
      </c>
    </row>
    <row r="72" customFormat="false" ht="15" hidden="false" customHeight="false" outlineLevel="0" collapsed="false">
      <c r="A72" s="11" t="n">
        <f aca="false">59*$B$3</f>
        <v>29500</v>
      </c>
      <c r="B72" s="11" t="n">
        <f aca="false">0</f>
        <v>0</v>
      </c>
      <c r="C72" s="11" t="n">
        <f aca="false">A72-B72</f>
        <v>29500</v>
      </c>
      <c r="D72" s="11" t="n">
        <f aca="false">IF(Calculator!$B$6="Yes",MIN(B72,'Tax Tables'!$B$31*'Tax Tables'!$B$32),0)</f>
        <v>0</v>
      </c>
      <c r="E72" s="11" t="n">
        <f aca="false">D72*Calculator!$B$7</f>
        <v>0</v>
      </c>
      <c r="F72" s="11" t="n">
        <f aca="false">D72*Calculator!$B$8</f>
        <v>0</v>
      </c>
      <c r="G72" s="11" t="n">
        <f aca="false">IF(B72&gt;0,'Tax Tables'!$B$32*MIN(MAX(B72/'Tax Tables'!$B$32*'Tax Tables'!$B$33,'Tax Tables'!$B$34),'Tax Tables'!$B$35),0)</f>
        <v>0</v>
      </c>
      <c r="H72" s="11" t="n">
        <f aca="false">Calculator!$B$5-A72-F72-G72</f>
        <v>370500</v>
      </c>
      <c r="I72" s="11" t="n">
        <f aca="false">'Tax Tables'!$B$22*(MAX(H72,0)-IF(Calculator!$B$10="Yes",MIN(MAX(H72,0),'Tax Tables'!$B$27)*'Tax Tables'!$B$28+MIN(MAX(MAX(H72,0)-'Tax Tables'!$B$27,0),'Tax Tables'!$B$29)*'Tax Tables'!$B$30,MIN(MAX(H72,0),'Tax Tables'!$B$23)*'Tax Tables'!$B$24+MIN(MAX(MAX(H72,0)-'Tax Tables'!$B$23,0),'Tax Tables'!$B$25)*'Tax Tables'!$B$26))*1-MIN('Tax Tables'!$B$22*(MAX(H72,0)-IF(Calculator!$B$10="Yes",MIN(MAX(H72,0),'Tax Tables'!$B$27)*'Tax Tables'!$B$28+MIN(MAX(MAX(H72,0)-'Tax Tables'!$B$27,0),'Tax Tables'!$B$29)*'Tax Tables'!$B$30,MIN(MAX(H72,0),'Tax Tables'!$B$23)*'Tax Tables'!$B$24+MIN(MAX(MAX(H72,0)-'Tax Tables'!$B$23,0),'Tax Tables'!$B$25)*'Tax Tables'!$B$26))*Calculator!$B$11,Calculator!$B$12)</f>
        <v>45560</v>
      </c>
      <c r="J72" s="11" t="n">
        <f aca="false">MAX(H72,0)-I72</f>
        <v>324940</v>
      </c>
      <c r="K72" s="11" t="n">
        <f aca="false">MIN(IF(A72&gt;0,Calculator!$B$13,0)+E72+Calculator!$B$14,'Tax Tables'!$B$36)</f>
        <v>1000</v>
      </c>
      <c r="L72" s="11" t="n">
        <f aca="false">MAX(A72-K72,0)</f>
        <v>28500</v>
      </c>
      <c r="M72" s="11" t="n">
        <f aca="false">SUMPRODUCT((L72&gt;'Tax Tables'!$A$5:$A$17)*(L72-'Tax Tables'!$A$5:$A$17)*'Tax Tables'!$C$5:$C$17)</f>
        <v>170</v>
      </c>
      <c r="N72" s="11" t="n">
        <f aca="false">IF(H72&lt;0,-1E+099,A72-E72-M72+J72+(E72+F72)*Calculator!$B$9)</f>
        <v>354270</v>
      </c>
      <c r="O72" s="2"/>
      <c r="P72" s="11" t="n">
        <f aca="false">59*$B$3</f>
        <v>29500</v>
      </c>
      <c r="Q72" s="11" t="n">
        <f aca="false">MIN(P72,'Tax Tables'!$B$31*'Tax Tables'!$B$32)</f>
        <v>29500</v>
      </c>
      <c r="R72" s="11" t="n">
        <f aca="false">P72-Q72</f>
        <v>0</v>
      </c>
      <c r="S72" s="11" t="n">
        <f aca="false">IF(Calculator!$B$6="Yes",MIN(Q72,'Tax Tables'!$B$31*'Tax Tables'!$B$32),0)</f>
        <v>29500</v>
      </c>
      <c r="T72" s="11" t="n">
        <f aca="false">S72*Calculator!$B$7</f>
        <v>5900</v>
      </c>
      <c r="U72" s="11" t="n">
        <f aca="false">S72*Calculator!$B$8</f>
        <v>5015</v>
      </c>
      <c r="V72" s="11" t="n">
        <f aca="false">IF(Q72&gt;0,'Tax Tables'!$B$32*MIN(MAX(Q72/'Tax Tables'!$B$32*'Tax Tables'!$B$33,'Tax Tables'!$B$34),'Tax Tables'!$B$35),0)</f>
        <v>73.75</v>
      </c>
      <c r="W72" s="11" t="n">
        <f aca="false">Calculator!$B$5-P72-U72-V72</f>
        <v>365411.25</v>
      </c>
      <c r="X72" s="11" t="n">
        <f aca="false">'Tax Tables'!$B$22*(MAX(W72,0)-IF(Calculator!$B$10="Yes",MIN(MAX(W72,0),'Tax Tables'!$B$27)*'Tax Tables'!$B$28+MIN(MAX(MAX(W72,0)-'Tax Tables'!$B$27,0),'Tax Tables'!$B$29)*'Tax Tables'!$B$30,MIN(MAX(W72,0),'Tax Tables'!$B$23)*'Tax Tables'!$B$24+MIN(MAX(MAX(W72,0)-'Tax Tables'!$B$23,0),'Tax Tables'!$B$25)*'Tax Tables'!$B$26))*1-MIN('Tax Tables'!$B$22*(MAX(W72,0)-IF(Calculator!$B$10="Yes",MIN(MAX(W72,0),'Tax Tables'!$B$27)*'Tax Tables'!$B$28+MIN(MAX(MAX(W72,0)-'Tax Tables'!$B$27,0),'Tax Tables'!$B$29)*'Tax Tables'!$B$30,MIN(MAX(W72,0),'Tax Tables'!$B$23)*'Tax Tables'!$B$24+MIN(MAX(MAX(W72,0)-'Tax Tables'!$B$23,0),'Tax Tables'!$B$25)*'Tax Tables'!$B$26))*Calculator!$B$11,Calculator!$B$12)</f>
        <v>44694.9125</v>
      </c>
      <c r="Y72" s="11" t="n">
        <f aca="false">MAX(W72,0)-X72</f>
        <v>320716.3375</v>
      </c>
      <c r="Z72" s="11" t="n">
        <f aca="false">MIN(IF(P72&gt;0,Calculator!$B$13,0)+T72+Calculator!$B$14,'Tax Tables'!$B$36)</f>
        <v>6900</v>
      </c>
      <c r="AA72" s="11" t="n">
        <f aca="false">MAX(P72-Z72,0)</f>
        <v>22600</v>
      </c>
      <c r="AB72" s="11" t="n">
        <f aca="false">SUMPRODUCT((AA72&gt;'Tax Tables'!$A$5:$A$17)*(AA72-'Tax Tables'!$A$5:$A$17)*'Tax Tables'!$C$5:$C$17)</f>
        <v>52</v>
      </c>
      <c r="AC72" s="11" t="n">
        <f aca="false">IF(W72&lt;0,-1E+099,P72-T72-AB72+Y72+(T72+U72)*Calculator!$B$9)</f>
        <v>355179.3375</v>
      </c>
    </row>
    <row r="73" customFormat="false" ht="15" hidden="false" customHeight="false" outlineLevel="0" collapsed="false">
      <c r="A73" s="11" t="n">
        <f aca="false">60*$B$3</f>
        <v>30000</v>
      </c>
      <c r="B73" s="11" t="n">
        <f aca="false">0</f>
        <v>0</v>
      </c>
      <c r="C73" s="11" t="n">
        <f aca="false">A73-B73</f>
        <v>30000</v>
      </c>
      <c r="D73" s="11" t="n">
        <f aca="false">IF(Calculator!$B$6="Yes",MIN(B73,'Tax Tables'!$B$31*'Tax Tables'!$B$32),0)</f>
        <v>0</v>
      </c>
      <c r="E73" s="11" t="n">
        <f aca="false">D73*Calculator!$B$7</f>
        <v>0</v>
      </c>
      <c r="F73" s="11" t="n">
        <f aca="false">D73*Calculator!$B$8</f>
        <v>0</v>
      </c>
      <c r="G73" s="11" t="n">
        <f aca="false">IF(B73&gt;0,'Tax Tables'!$B$32*MIN(MAX(B73/'Tax Tables'!$B$32*'Tax Tables'!$B$33,'Tax Tables'!$B$34),'Tax Tables'!$B$35),0)</f>
        <v>0</v>
      </c>
      <c r="H73" s="11" t="n">
        <f aca="false">Calculator!$B$5-A73-F73-G73</f>
        <v>370000</v>
      </c>
      <c r="I73" s="11" t="n">
        <f aca="false">'Tax Tables'!$B$22*(MAX(H73,0)-IF(Calculator!$B$10="Yes",MIN(MAX(H73,0),'Tax Tables'!$B$27)*'Tax Tables'!$B$28+MIN(MAX(MAX(H73,0)-'Tax Tables'!$B$27,0),'Tax Tables'!$B$29)*'Tax Tables'!$B$30,MIN(MAX(H73,0),'Tax Tables'!$B$23)*'Tax Tables'!$B$24+MIN(MAX(MAX(H73,0)-'Tax Tables'!$B$23,0),'Tax Tables'!$B$25)*'Tax Tables'!$B$26))*1-MIN('Tax Tables'!$B$22*(MAX(H73,0)-IF(Calculator!$B$10="Yes",MIN(MAX(H73,0),'Tax Tables'!$B$27)*'Tax Tables'!$B$28+MIN(MAX(MAX(H73,0)-'Tax Tables'!$B$27,0),'Tax Tables'!$B$29)*'Tax Tables'!$B$30,MIN(MAX(H73,0),'Tax Tables'!$B$23)*'Tax Tables'!$B$24+MIN(MAX(MAX(H73,0)-'Tax Tables'!$B$23,0),'Tax Tables'!$B$25)*'Tax Tables'!$B$26))*Calculator!$B$11,Calculator!$B$12)</f>
        <v>45475</v>
      </c>
      <c r="J73" s="11" t="n">
        <f aca="false">MAX(H73,0)-I73</f>
        <v>324525</v>
      </c>
      <c r="K73" s="11" t="n">
        <f aca="false">MIN(IF(A73&gt;0,Calculator!$B$13,0)+E73+Calculator!$B$14,'Tax Tables'!$B$36)</f>
        <v>1000</v>
      </c>
      <c r="L73" s="11" t="n">
        <f aca="false">MAX(A73-K73,0)</f>
        <v>29000</v>
      </c>
      <c r="M73" s="11" t="n">
        <f aca="false">SUMPRODUCT((L73&gt;'Tax Tables'!$A$5:$A$17)*(L73-'Tax Tables'!$A$5:$A$17)*'Tax Tables'!$C$5:$C$17)</f>
        <v>180</v>
      </c>
      <c r="N73" s="11" t="n">
        <f aca="false">IF(H73&lt;0,-1E+099,A73-E73-M73+J73+(E73+F73)*Calculator!$B$9)</f>
        <v>354345</v>
      </c>
      <c r="O73" s="2"/>
      <c r="P73" s="11" t="n">
        <f aca="false">60*$B$3</f>
        <v>30000</v>
      </c>
      <c r="Q73" s="11" t="n">
        <f aca="false">MIN(P73,'Tax Tables'!$B$31*'Tax Tables'!$B$32)</f>
        <v>30000</v>
      </c>
      <c r="R73" s="11" t="n">
        <f aca="false">P73-Q73</f>
        <v>0</v>
      </c>
      <c r="S73" s="11" t="n">
        <f aca="false">IF(Calculator!$B$6="Yes",MIN(Q73,'Tax Tables'!$B$31*'Tax Tables'!$B$32),0)</f>
        <v>30000</v>
      </c>
      <c r="T73" s="11" t="n">
        <f aca="false">S73*Calculator!$B$7</f>
        <v>6000</v>
      </c>
      <c r="U73" s="11" t="n">
        <f aca="false">S73*Calculator!$B$8</f>
        <v>5100</v>
      </c>
      <c r="V73" s="11" t="n">
        <f aca="false">IF(Q73&gt;0,'Tax Tables'!$B$32*MIN(MAX(Q73/'Tax Tables'!$B$32*'Tax Tables'!$B$33,'Tax Tables'!$B$34),'Tax Tables'!$B$35),0)</f>
        <v>75</v>
      </c>
      <c r="W73" s="11" t="n">
        <f aca="false">Calculator!$B$5-P73-U73-V73</f>
        <v>364825</v>
      </c>
      <c r="X73" s="11" t="n">
        <f aca="false">'Tax Tables'!$B$22*(MAX(W73,0)-IF(Calculator!$B$10="Yes",MIN(MAX(W73,0),'Tax Tables'!$B$27)*'Tax Tables'!$B$28+MIN(MAX(MAX(W73,0)-'Tax Tables'!$B$27,0),'Tax Tables'!$B$29)*'Tax Tables'!$B$30,MIN(MAX(W73,0),'Tax Tables'!$B$23)*'Tax Tables'!$B$24+MIN(MAX(MAX(W73,0)-'Tax Tables'!$B$23,0),'Tax Tables'!$B$25)*'Tax Tables'!$B$26))*1-MIN('Tax Tables'!$B$22*(MAX(W73,0)-IF(Calculator!$B$10="Yes",MIN(MAX(W73,0),'Tax Tables'!$B$27)*'Tax Tables'!$B$28+MIN(MAX(MAX(W73,0)-'Tax Tables'!$B$27,0),'Tax Tables'!$B$29)*'Tax Tables'!$B$30,MIN(MAX(W73,0),'Tax Tables'!$B$23)*'Tax Tables'!$B$24+MIN(MAX(MAX(W73,0)-'Tax Tables'!$B$23,0),'Tax Tables'!$B$25)*'Tax Tables'!$B$26))*Calculator!$B$11,Calculator!$B$12)</f>
        <v>44595.25</v>
      </c>
      <c r="Y73" s="11" t="n">
        <f aca="false">MAX(W73,0)-X73</f>
        <v>320229.75</v>
      </c>
      <c r="Z73" s="11" t="n">
        <f aca="false">MIN(IF(P73&gt;0,Calculator!$B$13,0)+T73+Calculator!$B$14,'Tax Tables'!$B$36)</f>
        <v>7000</v>
      </c>
      <c r="AA73" s="11" t="n">
        <f aca="false">MAX(P73-Z73,0)</f>
        <v>23000</v>
      </c>
      <c r="AB73" s="11" t="n">
        <f aca="false">SUMPRODUCT((AA73&gt;'Tax Tables'!$A$5:$A$17)*(AA73-'Tax Tables'!$A$5:$A$17)*'Tax Tables'!$C$5:$C$17)</f>
        <v>60</v>
      </c>
      <c r="AC73" s="11" t="n">
        <f aca="false">IF(W73&lt;0,-1E+099,P73-T73-AB73+Y73+(T73+U73)*Calculator!$B$9)</f>
        <v>355269.75</v>
      </c>
    </row>
    <row r="74" customFormat="false" ht="15" hidden="false" customHeight="false" outlineLevel="0" collapsed="false">
      <c r="A74" s="11" t="n">
        <f aca="false">61*$B$3</f>
        <v>30500</v>
      </c>
      <c r="B74" s="11" t="n">
        <f aca="false">0</f>
        <v>0</v>
      </c>
      <c r="C74" s="11" t="n">
        <f aca="false">A74-B74</f>
        <v>30500</v>
      </c>
      <c r="D74" s="11" t="n">
        <f aca="false">IF(Calculator!$B$6="Yes",MIN(B74,'Tax Tables'!$B$31*'Tax Tables'!$B$32),0)</f>
        <v>0</v>
      </c>
      <c r="E74" s="11" t="n">
        <f aca="false">D74*Calculator!$B$7</f>
        <v>0</v>
      </c>
      <c r="F74" s="11" t="n">
        <f aca="false">D74*Calculator!$B$8</f>
        <v>0</v>
      </c>
      <c r="G74" s="11" t="n">
        <f aca="false">IF(B74&gt;0,'Tax Tables'!$B$32*MIN(MAX(B74/'Tax Tables'!$B$32*'Tax Tables'!$B$33,'Tax Tables'!$B$34),'Tax Tables'!$B$35),0)</f>
        <v>0</v>
      </c>
      <c r="H74" s="11" t="n">
        <f aca="false">Calculator!$B$5-A74-F74-G74</f>
        <v>369500</v>
      </c>
      <c r="I74" s="11" t="n">
        <f aca="false">'Tax Tables'!$B$22*(MAX(H74,0)-IF(Calculator!$B$10="Yes",MIN(MAX(H74,0),'Tax Tables'!$B$27)*'Tax Tables'!$B$28+MIN(MAX(MAX(H74,0)-'Tax Tables'!$B$27,0),'Tax Tables'!$B$29)*'Tax Tables'!$B$30,MIN(MAX(H74,0),'Tax Tables'!$B$23)*'Tax Tables'!$B$24+MIN(MAX(MAX(H74,0)-'Tax Tables'!$B$23,0),'Tax Tables'!$B$25)*'Tax Tables'!$B$26))*1-MIN('Tax Tables'!$B$22*(MAX(H74,0)-IF(Calculator!$B$10="Yes",MIN(MAX(H74,0),'Tax Tables'!$B$27)*'Tax Tables'!$B$28+MIN(MAX(MAX(H74,0)-'Tax Tables'!$B$27,0),'Tax Tables'!$B$29)*'Tax Tables'!$B$30,MIN(MAX(H74,0),'Tax Tables'!$B$23)*'Tax Tables'!$B$24+MIN(MAX(MAX(H74,0)-'Tax Tables'!$B$23,0),'Tax Tables'!$B$25)*'Tax Tables'!$B$26))*Calculator!$B$11,Calculator!$B$12)</f>
        <v>45390</v>
      </c>
      <c r="J74" s="11" t="n">
        <f aca="false">MAX(H74,0)-I74</f>
        <v>324110</v>
      </c>
      <c r="K74" s="11" t="n">
        <f aca="false">MIN(IF(A74&gt;0,Calculator!$B$13,0)+E74+Calculator!$B$14,'Tax Tables'!$B$36)</f>
        <v>1000</v>
      </c>
      <c r="L74" s="11" t="n">
        <f aca="false">MAX(A74-K74,0)</f>
        <v>29500</v>
      </c>
      <c r="M74" s="11" t="n">
        <f aca="false">SUMPRODUCT((L74&gt;'Tax Tables'!$A$5:$A$17)*(L74-'Tax Tables'!$A$5:$A$17)*'Tax Tables'!$C$5:$C$17)</f>
        <v>190</v>
      </c>
      <c r="N74" s="11" t="n">
        <f aca="false">IF(H74&lt;0,-1E+099,A74-E74-M74+J74+(E74+F74)*Calculator!$B$9)</f>
        <v>354420</v>
      </c>
      <c r="O74" s="2"/>
      <c r="P74" s="11" t="n">
        <f aca="false">61*$B$3</f>
        <v>30500</v>
      </c>
      <c r="Q74" s="11" t="n">
        <f aca="false">MIN(P74,'Tax Tables'!$B$31*'Tax Tables'!$B$32)</f>
        <v>30500</v>
      </c>
      <c r="R74" s="11" t="n">
        <f aca="false">P74-Q74</f>
        <v>0</v>
      </c>
      <c r="S74" s="11" t="n">
        <f aca="false">IF(Calculator!$B$6="Yes",MIN(Q74,'Tax Tables'!$B$31*'Tax Tables'!$B$32),0)</f>
        <v>30500</v>
      </c>
      <c r="T74" s="11" t="n">
        <f aca="false">S74*Calculator!$B$7</f>
        <v>6100</v>
      </c>
      <c r="U74" s="11" t="n">
        <f aca="false">S74*Calculator!$B$8</f>
        <v>5185</v>
      </c>
      <c r="V74" s="11" t="n">
        <f aca="false">IF(Q74&gt;0,'Tax Tables'!$B$32*MIN(MAX(Q74/'Tax Tables'!$B$32*'Tax Tables'!$B$33,'Tax Tables'!$B$34),'Tax Tables'!$B$35),0)</f>
        <v>76.25</v>
      </c>
      <c r="W74" s="11" t="n">
        <f aca="false">Calculator!$B$5-P74-U74-V74</f>
        <v>364238.75</v>
      </c>
      <c r="X74" s="11" t="n">
        <f aca="false">'Tax Tables'!$B$22*(MAX(W74,0)-IF(Calculator!$B$10="Yes",MIN(MAX(W74,0),'Tax Tables'!$B$27)*'Tax Tables'!$B$28+MIN(MAX(MAX(W74,0)-'Tax Tables'!$B$27,0),'Tax Tables'!$B$29)*'Tax Tables'!$B$30,MIN(MAX(W74,0),'Tax Tables'!$B$23)*'Tax Tables'!$B$24+MIN(MAX(MAX(W74,0)-'Tax Tables'!$B$23,0),'Tax Tables'!$B$25)*'Tax Tables'!$B$26))*1-MIN('Tax Tables'!$B$22*(MAX(W74,0)-IF(Calculator!$B$10="Yes",MIN(MAX(W74,0),'Tax Tables'!$B$27)*'Tax Tables'!$B$28+MIN(MAX(MAX(W74,0)-'Tax Tables'!$B$27,0),'Tax Tables'!$B$29)*'Tax Tables'!$B$30,MIN(MAX(W74,0),'Tax Tables'!$B$23)*'Tax Tables'!$B$24+MIN(MAX(MAX(W74,0)-'Tax Tables'!$B$23,0),'Tax Tables'!$B$25)*'Tax Tables'!$B$26))*Calculator!$B$11,Calculator!$B$12)</f>
        <v>44495.5875</v>
      </c>
      <c r="Y74" s="11" t="n">
        <f aca="false">MAX(W74,0)-X74</f>
        <v>319743.1625</v>
      </c>
      <c r="Z74" s="11" t="n">
        <f aca="false">MIN(IF(P74&gt;0,Calculator!$B$13,0)+T74+Calculator!$B$14,'Tax Tables'!$B$36)</f>
        <v>7100</v>
      </c>
      <c r="AA74" s="11" t="n">
        <f aca="false">MAX(P74-Z74,0)</f>
        <v>23400</v>
      </c>
      <c r="AB74" s="11" t="n">
        <f aca="false">SUMPRODUCT((AA74&gt;'Tax Tables'!$A$5:$A$17)*(AA74-'Tax Tables'!$A$5:$A$17)*'Tax Tables'!$C$5:$C$17)</f>
        <v>68</v>
      </c>
      <c r="AC74" s="11" t="n">
        <f aca="false">IF(W74&lt;0,-1E+099,P74-T74-AB74+Y74+(T74+U74)*Calculator!$B$9)</f>
        <v>355360.1625</v>
      </c>
    </row>
    <row r="75" customFormat="false" ht="15" hidden="false" customHeight="false" outlineLevel="0" collapsed="false">
      <c r="A75" s="11" t="n">
        <f aca="false">62*$B$3</f>
        <v>31000</v>
      </c>
      <c r="B75" s="11" t="n">
        <f aca="false">0</f>
        <v>0</v>
      </c>
      <c r="C75" s="11" t="n">
        <f aca="false">A75-B75</f>
        <v>31000</v>
      </c>
      <c r="D75" s="11" t="n">
        <f aca="false">IF(Calculator!$B$6="Yes",MIN(B75,'Tax Tables'!$B$31*'Tax Tables'!$B$32),0)</f>
        <v>0</v>
      </c>
      <c r="E75" s="11" t="n">
        <f aca="false">D75*Calculator!$B$7</f>
        <v>0</v>
      </c>
      <c r="F75" s="11" t="n">
        <f aca="false">D75*Calculator!$B$8</f>
        <v>0</v>
      </c>
      <c r="G75" s="11" t="n">
        <f aca="false">IF(B75&gt;0,'Tax Tables'!$B$32*MIN(MAX(B75/'Tax Tables'!$B$32*'Tax Tables'!$B$33,'Tax Tables'!$B$34),'Tax Tables'!$B$35),0)</f>
        <v>0</v>
      </c>
      <c r="H75" s="11" t="n">
        <f aca="false">Calculator!$B$5-A75-F75-G75</f>
        <v>369000</v>
      </c>
      <c r="I75" s="11" t="n">
        <f aca="false">'Tax Tables'!$B$22*(MAX(H75,0)-IF(Calculator!$B$10="Yes",MIN(MAX(H75,0),'Tax Tables'!$B$27)*'Tax Tables'!$B$28+MIN(MAX(MAX(H75,0)-'Tax Tables'!$B$27,0),'Tax Tables'!$B$29)*'Tax Tables'!$B$30,MIN(MAX(H75,0),'Tax Tables'!$B$23)*'Tax Tables'!$B$24+MIN(MAX(MAX(H75,0)-'Tax Tables'!$B$23,0),'Tax Tables'!$B$25)*'Tax Tables'!$B$26))*1-MIN('Tax Tables'!$B$22*(MAX(H75,0)-IF(Calculator!$B$10="Yes",MIN(MAX(H75,0),'Tax Tables'!$B$27)*'Tax Tables'!$B$28+MIN(MAX(MAX(H75,0)-'Tax Tables'!$B$27,0),'Tax Tables'!$B$29)*'Tax Tables'!$B$30,MIN(MAX(H75,0),'Tax Tables'!$B$23)*'Tax Tables'!$B$24+MIN(MAX(MAX(H75,0)-'Tax Tables'!$B$23,0),'Tax Tables'!$B$25)*'Tax Tables'!$B$26))*Calculator!$B$11,Calculator!$B$12)</f>
        <v>45305</v>
      </c>
      <c r="J75" s="11" t="n">
        <f aca="false">MAX(H75,0)-I75</f>
        <v>323695</v>
      </c>
      <c r="K75" s="11" t="n">
        <f aca="false">MIN(IF(A75&gt;0,Calculator!$B$13,0)+E75+Calculator!$B$14,'Tax Tables'!$B$36)</f>
        <v>1000</v>
      </c>
      <c r="L75" s="11" t="n">
        <f aca="false">MAX(A75-K75,0)</f>
        <v>30000</v>
      </c>
      <c r="M75" s="11" t="n">
        <f aca="false">SUMPRODUCT((L75&gt;'Tax Tables'!$A$5:$A$17)*(L75-'Tax Tables'!$A$5:$A$17)*'Tax Tables'!$C$5:$C$17)</f>
        <v>200</v>
      </c>
      <c r="N75" s="11" t="n">
        <f aca="false">IF(H75&lt;0,-1E+099,A75-E75-M75+J75+(E75+F75)*Calculator!$B$9)</f>
        <v>354495</v>
      </c>
      <c r="O75" s="2"/>
      <c r="P75" s="11" t="n">
        <f aca="false">62*$B$3</f>
        <v>31000</v>
      </c>
      <c r="Q75" s="11" t="n">
        <f aca="false">MIN(P75,'Tax Tables'!$B$31*'Tax Tables'!$B$32)</f>
        <v>31000</v>
      </c>
      <c r="R75" s="11" t="n">
        <f aca="false">P75-Q75</f>
        <v>0</v>
      </c>
      <c r="S75" s="11" t="n">
        <f aca="false">IF(Calculator!$B$6="Yes",MIN(Q75,'Tax Tables'!$B$31*'Tax Tables'!$B$32),0)</f>
        <v>31000</v>
      </c>
      <c r="T75" s="11" t="n">
        <f aca="false">S75*Calculator!$B$7</f>
        <v>6200</v>
      </c>
      <c r="U75" s="11" t="n">
        <f aca="false">S75*Calculator!$B$8</f>
        <v>5270</v>
      </c>
      <c r="V75" s="11" t="n">
        <f aca="false">IF(Q75&gt;0,'Tax Tables'!$B$32*MIN(MAX(Q75/'Tax Tables'!$B$32*'Tax Tables'!$B$33,'Tax Tables'!$B$34),'Tax Tables'!$B$35),0)</f>
        <v>77.5</v>
      </c>
      <c r="W75" s="11" t="n">
        <f aca="false">Calculator!$B$5-P75-U75-V75</f>
        <v>363652.5</v>
      </c>
      <c r="X75" s="11" t="n">
        <f aca="false">'Tax Tables'!$B$22*(MAX(W75,0)-IF(Calculator!$B$10="Yes",MIN(MAX(W75,0),'Tax Tables'!$B$27)*'Tax Tables'!$B$28+MIN(MAX(MAX(W75,0)-'Tax Tables'!$B$27,0),'Tax Tables'!$B$29)*'Tax Tables'!$B$30,MIN(MAX(W75,0),'Tax Tables'!$B$23)*'Tax Tables'!$B$24+MIN(MAX(MAX(W75,0)-'Tax Tables'!$B$23,0),'Tax Tables'!$B$25)*'Tax Tables'!$B$26))*1-MIN('Tax Tables'!$B$22*(MAX(W75,0)-IF(Calculator!$B$10="Yes",MIN(MAX(W75,0),'Tax Tables'!$B$27)*'Tax Tables'!$B$28+MIN(MAX(MAX(W75,0)-'Tax Tables'!$B$27,0),'Tax Tables'!$B$29)*'Tax Tables'!$B$30,MIN(MAX(W75,0),'Tax Tables'!$B$23)*'Tax Tables'!$B$24+MIN(MAX(MAX(W75,0)-'Tax Tables'!$B$23,0),'Tax Tables'!$B$25)*'Tax Tables'!$B$26))*Calculator!$B$11,Calculator!$B$12)</f>
        <v>44395.925</v>
      </c>
      <c r="Y75" s="11" t="n">
        <f aca="false">MAX(W75,0)-X75</f>
        <v>319256.575</v>
      </c>
      <c r="Z75" s="11" t="n">
        <f aca="false">MIN(IF(P75&gt;0,Calculator!$B$13,0)+T75+Calculator!$B$14,'Tax Tables'!$B$36)</f>
        <v>7200</v>
      </c>
      <c r="AA75" s="11" t="n">
        <f aca="false">MAX(P75-Z75,0)</f>
        <v>23800</v>
      </c>
      <c r="AB75" s="11" t="n">
        <f aca="false">SUMPRODUCT((AA75&gt;'Tax Tables'!$A$5:$A$17)*(AA75-'Tax Tables'!$A$5:$A$17)*'Tax Tables'!$C$5:$C$17)</f>
        <v>76</v>
      </c>
      <c r="AC75" s="11" t="n">
        <f aca="false">IF(W75&lt;0,-1E+099,P75-T75-AB75+Y75+(T75+U75)*Calculator!$B$9)</f>
        <v>355450.575</v>
      </c>
    </row>
    <row r="76" customFormat="false" ht="15" hidden="false" customHeight="false" outlineLevel="0" collapsed="false">
      <c r="A76" s="11" t="n">
        <f aca="false">63*$B$3</f>
        <v>31500</v>
      </c>
      <c r="B76" s="11" t="n">
        <f aca="false">0</f>
        <v>0</v>
      </c>
      <c r="C76" s="11" t="n">
        <f aca="false">A76-B76</f>
        <v>31500</v>
      </c>
      <c r="D76" s="11" t="n">
        <f aca="false">IF(Calculator!$B$6="Yes",MIN(B76,'Tax Tables'!$B$31*'Tax Tables'!$B$32),0)</f>
        <v>0</v>
      </c>
      <c r="E76" s="11" t="n">
        <f aca="false">D76*Calculator!$B$7</f>
        <v>0</v>
      </c>
      <c r="F76" s="11" t="n">
        <f aca="false">D76*Calculator!$B$8</f>
        <v>0</v>
      </c>
      <c r="G76" s="11" t="n">
        <f aca="false">IF(B76&gt;0,'Tax Tables'!$B$32*MIN(MAX(B76/'Tax Tables'!$B$32*'Tax Tables'!$B$33,'Tax Tables'!$B$34),'Tax Tables'!$B$35),0)</f>
        <v>0</v>
      </c>
      <c r="H76" s="11" t="n">
        <f aca="false">Calculator!$B$5-A76-F76-G76</f>
        <v>368500</v>
      </c>
      <c r="I76" s="11" t="n">
        <f aca="false">'Tax Tables'!$B$22*(MAX(H76,0)-IF(Calculator!$B$10="Yes",MIN(MAX(H76,0),'Tax Tables'!$B$27)*'Tax Tables'!$B$28+MIN(MAX(MAX(H76,0)-'Tax Tables'!$B$27,0),'Tax Tables'!$B$29)*'Tax Tables'!$B$30,MIN(MAX(H76,0),'Tax Tables'!$B$23)*'Tax Tables'!$B$24+MIN(MAX(MAX(H76,0)-'Tax Tables'!$B$23,0),'Tax Tables'!$B$25)*'Tax Tables'!$B$26))*1-MIN('Tax Tables'!$B$22*(MAX(H76,0)-IF(Calculator!$B$10="Yes",MIN(MAX(H76,0),'Tax Tables'!$B$27)*'Tax Tables'!$B$28+MIN(MAX(MAX(H76,0)-'Tax Tables'!$B$27,0),'Tax Tables'!$B$29)*'Tax Tables'!$B$30,MIN(MAX(H76,0),'Tax Tables'!$B$23)*'Tax Tables'!$B$24+MIN(MAX(MAX(H76,0)-'Tax Tables'!$B$23,0),'Tax Tables'!$B$25)*'Tax Tables'!$B$26))*Calculator!$B$11,Calculator!$B$12)</f>
        <v>45220</v>
      </c>
      <c r="J76" s="11" t="n">
        <f aca="false">MAX(H76,0)-I76</f>
        <v>323280</v>
      </c>
      <c r="K76" s="11" t="n">
        <f aca="false">MIN(IF(A76&gt;0,Calculator!$B$13,0)+E76+Calculator!$B$14,'Tax Tables'!$B$36)</f>
        <v>1000</v>
      </c>
      <c r="L76" s="11" t="n">
        <f aca="false">MAX(A76-K76,0)</f>
        <v>30500</v>
      </c>
      <c r="M76" s="11" t="n">
        <f aca="false">SUMPRODUCT((L76&gt;'Tax Tables'!$A$5:$A$17)*(L76-'Tax Tables'!$A$5:$A$17)*'Tax Tables'!$C$5:$C$17)</f>
        <v>217.5</v>
      </c>
      <c r="N76" s="11" t="n">
        <f aca="false">IF(H76&lt;0,-1E+099,A76-E76-M76+J76+(E76+F76)*Calculator!$B$9)</f>
        <v>354562.5</v>
      </c>
      <c r="O76" s="2"/>
      <c r="P76" s="11" t="n">
        <f aca="false">63*$B$3</f>
        <v>31500</v>
      </c>
      <c r="Q76" s="11" t="n">
        <f aca="false">MIN(P76,'Tax Tables'!$B$31*'Tax Tables'!$B$32)</f>
        <v>31500</v>
      </c>
      <c r="R76" s="11" t="n">
        <f aca="false">P76-Q76</f>
        <v>0</v>
      </c>
      <c r="S76" s="11" t="n">
        <f aca="false">IF(Calculator!$B$6="Yes",MIN(Q76,'Tax Tables'!$B$31*'Tax Tables'!$B$32),0)</f>
        <v>31500</v>
      </c>
      <c r="T76" s="11" t="n">
        <f aca="false">S76*Calculator!$B$7</f>
        <v>6300</v>
      </c>
      <c r="U76" s="11" t="n">
        <f aca="false">S76*Calculator!$B$8</f>
        <v>5355</v>
      </c>
      <c r="V76" s="11" t="n">
        <f aca="false">IF(Q76&gt;0,'Tax Tables'!$B$32*MIN(MAX(Q76/'Tax Tables'!$B$32*'Tax Tables'!$B$33,'Tax Tables'!$B$34),'Tax Tables'!$B$35),0)</f>
        <v>78.75</v>
      </c>
      <c r="W76" s="11" t="n">
        <f aca="false">Calculator!$B$5-P76-U76-V76</f>
        <v>363066.25</v>
      </c>
      <c r="X76" s="11" t="n">
        <f aca="false">'Tax Tables'!$B$22*(MAX(W76,0)-IF(Calculator!$B$10="Yes",MIN(MAX(W76,0),'Tax Tables'!$B$27)*'Tax Tables'!$B$28+MIN(MAX(MAX(W76,0)-'Tax Tables'!$B$27,0),'Tax Tables'!$B$29)*'Tax Tables'!$B$30,MIN(MAX(W76,0),'Tax Tables'!$B$23)*'Tax Tables'!$B$24+MIN(MAX(MAX(W76,0)-'Tax Tables'!$B$23,0),'Tax Tables'!$B$25)*'Tax Tables'!$B$26))*1-MIN('Tax Tables'!$B$22*(MAX(W76,0)-IF(Calculator!$B$10="Yes",MIN(MAX(W76,0),'Tax Tables'!$B$27)*'Tax Tables'!$B$28+MIN(MAX(MAX(W76,0)-'Tax Tables'!$B$27,0),'Tax Tables'!$B$29)*'Tax Tables'!$B$30,MIN(MAX(W76,0),'Tax Tables'!$B$23)*'Tax Tables'!$B$24+MIN(MAX(MAX(W76,0)-'Tax Tables'!$B$23,0),'Tax Tables'!$B$25)*'Tax Tables'!$B$26))*Calculator!$B$11,Calculator!$B$12)</f>
        <v>44296.2625</v>
      </c>
      <c r="Y76" s="11" t="n">
        <f aca="false">MAX(W76,0)-X76</f>
        <v>318769.9875</v>
      </c>
      <c r="Z76" s="11" t="n">
        <f aca="false">MIN(IF(P76&gt;0,Calculator!$B$13,0)+T76+Calculator!$B$14,'Tax Tables'!$B$36)</f>
        <v>7300</v>
      </c>
      <c r="AA76" s="11" t="n">
        <f aca="false">MAX(P76-Z76,0)</f>
        <v>24200</v>
      </c>
      <c r="AB76" s="11" t="n">
        <f aca="false">SUMPRODUCT((AA76&gt;'Tax Tables'!$A$5:$A$17)*(AA76-'Tax Tables'!$A$5:$A$17)*'Tax Tables'!$C$5:$C$17)</f>
        <v>84</v>
      </c>
      <c r="AC76" s="11" t="n">
        <f aca="false">IF(W76&lt;0,-1E+099,P76-T76-AB76+Y76+(T76+U76)*Calculator!$B$9)</f>
        <v>355540.9875</v>
      </c>
    </row>
    <row r="77" customFormat="false" ht="15" hidden="false" customHeight="false" outlineLevel="0" collapsed="false">
      <c r="A77" s="11" t="n">
        <f aca="false">64*$B$3</f>
        <v>32000</v>
      </c>
      <c r="B77" s="11" t="n">
        <f aca="false">0</f>
        <v>0</v>
      </c>
      <c r="C77" s="11" t="n">
        <f aca="false">A77-B77</f>
        <v>32000</v>
      </c>
      <c r="D77" s="11" t="n">
        <f aca="false">IF(Calculator!$B$6="Yes",MIN(B77,'Tax Tables'!$B$31*'Tax Tables'!$B$32),0)</f>
        <v>0</v>
      </c>
      <c r="E77" s="11" t="n">
        <f aca="false">D77*Calculator!$B$7</f>
        <v>0</v>
      </c>
      <c r="F77" s="11" t="n">
        <f aca="false">D77*Calculator!$B$8</f>
        <v>0</v>
      </c>
      <c r="G77" s="11" t="n">
        <f aca="false">IF(B77&gt;0,'Tax Tables'!$B$32*MIN(MAX(B77/'Tax Tables'!$B$32*'Tax Tables'!$B$33,'Tax Tables'!$B$34),'Tax Tables'!$B$35),0)</f>
        <v>0</v>
      </c>
      <c r="H77" s="11" t="n">
        <f aca="false">Calculator!$B$5-A77-F77-G77</f>
        <v>368000</v>
      </c>
      <c r="I77" s="11" t="n">
        <f aca="false">'Tax Tables'!$B$22*(MAX(H77,0)-IF(Calculator!$B$10="Yes",MIN(MAX(H77,0),'Tax Tables'!$B$27)*'Tax Tables'!$B$28+MIN(MAX(MAX(H77,0)-'Tax Tables'!$B$27,0),'Tax Tables'!$B$29)*'Tax Tables'!$B$30,MIN(MAX(H77,0),'Tax Tables'!$B$23)*'Tax Tables'!$B$24+MIN(MAX(MAX(H77,0)-'Tax Tables'!$B$23,0),'Tax Tables'!$B$25)*'Tax Tables'!$B$26))*1-MIN('Tax Tables'!$B$22*(MAX(H77,0)-IF(Calculator!$B$10="Yes",MIN(MAX(H77,0),'Tax Tables'!$B$27)*'Tax Tables'!$B$28+MIN(MAX(MAX(H77,0)-'Tax Tables'!$B$27,0),'Tax Tables'!$B$29)*'Tax Tables'!$B$30,MIN(MAX(H77,0),'Tax Tables'!$B$23)*'Tax Tables'!$B$24+MIN(MAX(MAX(H77,0)-'Tax Tables'!$B$23,0),'Tax Tables'!$B$25)*'Tax Tables'!$B$26))*Calculator!$B$11,Calculator!$B$12)</f>
        <v>45135</v>
      </c>
      <c r="J77" s="11" t="n">
        <f aca="false">MAX(H77,0)-I77</f>
        <v>322865</v>
      </c>
      <c r="K77" s="11" t="n">
        <f aca="false">MIN(IF(A77&gt;0,Calculator!$B$13,0)+E77+Calculator!$B$14,'Tax Tables'!$B$36)</f>
        <v>1000</v>
      </c>
      <c r="L77" s="11" t="n">
        <f aca="false">MAX(A77-K77,0)</f>
        <v>31000</v>
      </c>
      <c r="M77" s="11" t="n">
        <f aca="false">SUMPRODUCT((L77&gt;'Tax Tables'!$A$5:$A$17)*(L77-'Tax Tables'!$A$5:$A$17)*'Tax Tables'!$C$5:$C$17)</f>
        <v>235</v>
      </c>
      <c r="N77" s="11" t="n">
        <f aca="false">IF(H77&lt;0,-1E+099,A77-E77-M77+J77+(E77+F77)*Calculator!$B$9)</f>
        <v>354630</v>
      </c>
      <c r="O77" s="2"/>
      <c r="P77" s="11" t="n">
        <f aca="false">64*$B$3</f>
        <v>32000</v>
      </c>
      <c r="Q77" s="11" t="n">
        <f aca="false">MIN(P77,'Tax Tables'!$B$31*'Tax Tables'!$B$32)</f>
        <v>32000</v>
      </c>
      <c r="R77" s="11" t="n">
        <f aca="false">P77-Q77</f>
        <v>0</v>
      </c>
      <c r="S77" s="11" t="n">
        <f aca="false">IF(Calculator!$B$6="Yes",MIN(Q77,'Tax Tables'!$B$31*'Tax Tables'!$B$32),0)</f>
        <v>32000</v>
      </c>
      <c r="T77" s="11" t="n">
        <f aca="false">S77*Calculator!$B$7</f>
        <v>6400</v>
      </c>
      <c r="U77" s="11" t="n">
        <f aca="false">S77*Calculator!$B$8</f>
        <v>5440</v>
      </c>
      <c r="V77" s="11" t="n">
        <f aca="false">IF(Q77&gt;0,'Tax Tables'!$B$32*MIN(MAX(Q77/'Tax Tables'!$B$32*'Tax Tables'!$B$33,'Tax Tables'!$B$34),'Tax Tables'!$B$35),0)</f>
        <v>80</v>
      </c>
      <c r="W77" s="11" t="n">
        <f aca="false">Calculator!$B$5-P77-U77-V77</f>
        <v>362480</v>
      </c>
      <c r="X77" s="11" t="n">
        <f aca="false">'Tax Tables'!$B$22*(MAX(W77,0)-IF(Calculator!$B$10="Yes",MIN(MAX(W77,0),'Tax Tables'!$B$27)*'Tax Tables'!$B$28+MIN(MAX(MAX(W77,0)-'Tax Tables'!$B$27,0),'Tax Tables'!$B$29)*'Tax Tables'!$B$30,MIN(MAX(W77,0),'Tax Tables'!$B$23)*'Tax Tables'!$B$24+MIN(MAX(MAX(W77,0)-'Tax Tables'!$B$23,0),'Tax Tables'!$B$25)*'Tax Tables'!$B$26))*1-MIN('Tax Tables'!$B$22*(MAX(W77,0)-IF(Calculator!$B$10="Yes",MIN(MAX(W77,0),'Tax Tables'!$B$27)*'Tax Tables'!$B$28+MIN(MAX(MAX(W77,0)-'Tax Tables'!$B$27,0),'Tax Tables'!$B$29)*'Tax Tables'!$B$30,MIN(MAX(W77,0),'Tax Tables'!$B$23)*'Tax Tables'!$B$24+MIN(MAX(MAX(W77,0)-'Tax Tables'!$B$23,0),'Tax Tables'!$B$25)*'Tax Tables'!$B$26))*Calculator!$B$11,Calculator!$B$12)</f>
        <v>44196.6</v>
      </c>
      <c r="Y77" s="11" t="n">
        <f aca="false">MAX(W77,0)-X77</f>
        <v>318283.4</v>
      </c>
      <c r="Z77" s="11" t="n">
        <f aca="false">MIN(IF(P77&gt;0,Calculator!$B$13,0)+T77+Calculator!$B$14,'Tax Tables'!$B$36)</f>
        <v>7400</v>
      </c>
      <c r="AA77" s="11" t="n">
        <f aca="false">MAX(P77-Z77,0)</f>
        <v>24600</v>
      </c>
      <c r="AB77" s="11" t="n">
        <f aca="false">SUMPRODUCT((AA77&gt;'Tax Tables'!$A$5:$A$17)*(AA77-'Tax Tables'!$A$5:$A$17)*'Tax Tables'!$C$5:$C$17)</f>
        <v>92</v>
      </c>
      <c r="AC77" s="11" t="n">
        <f aca="false">IF(W77&lt;0,-1E+099,P77-T77-AB77+Y77+(T77+U77)*Calculator!$B$9)</f>
        <v>355631.4</v>
      </c>
    </row>
    <row r="78" customFormat="false" ht="15" hidden="false" customHeight="false" outlineLevel="0" collapsed="false">
      <c r="A78" s="11" t="n">
        <f aca="false">65*$B$3</f>
        <v>32500</v>
      </c>
      <c r="B78" s="11" t="n">
        <f aca="false">0</f>
        <v>0</v>
      </c>
      <c r="C78" s="11" t="n">
        <f aca="false">A78-B78</f>
        <v>32500</v>
      </c>
      <c r="D78" s="11" t="n">
        <f aca="false">IF(Calculator!$B$6="Yes",MIN(B78,'Tax Tables'!$B$31*'Tax Tables'!$B$32),0)</f>
        <v>0</v>
      </c>
      <c r="E78" s="11" t="n">
        <f aca="false">D78*Calculator!$B$7</f>
        <v>0</v>
      </c>
      <c r="F78" s="11" t="n">
        <f aca="false">D78*Calculator!$B$8</f>
        <v>0</v>
      </c>
      <c r="G78" s="11" t="n">
        <f aca="false">IF(B78&gt;0,'Tax Tables'!$B$32*MIN(MAX(B78/'Tax Tables'!$B$32*'Tax Tables'!$B$33,'Tax Tables'!$B$34),'Tax Tables'!$B$35),0)</f>
        <v>0</v>
      </c>
      <c r="H78" s="11" t="n">
        <f aca="false">Calculator!$B$5-A78-F78-G78</f>
        <v>367500</v>
      </c>
      <c r="I78" s="11" t="n">
        <f aca="false">'Tax Tables'!$B$22*(MAX(H78,0)-IF(Calculator!$B$10="Yes",MIN(MAX(H78,0),'Tax Tables'!$B$27)*'Tax Tables'!$B$28+MIN(MAX(MAX(H78,0)-'Tax Tables'!$B$27,0),'Tax Tables'!$B$29)*'Tax Tables'!$B$30,MIN(MAX(H78,0),'Tax Tables'!$B$23)*'Tax Tables'!$B$24+MIN(MAX(MAX(H78,0)-'Tax Tables'!$B$23,0),'Tax Tables'!$B$25)*'Tax Tables'!$B$26))*1-MIN('Tax Tables'!$B$22*(MAX(H78,0)-IF(Calculator!$B$10="Yes",MIN(MAX(H78,0),'Tax Tables'!$B$27)*'Tax Tables'!$B$28+MIN(MAX(MAX(H78,0)-'Tax Tables'!$B$27,0),'Tax Tables'!$B$29)*'Tax Tables'!$B$30,MIN(MAX(H78,0),'Tax Tables'!$B$23)*'Tax Tables'!$B$24+MIN(MAX(MAX(H78,0)-'Tax Tables'!$B$23,0),'Tax Tables'!$B$25)*'Tax Tables'!$B$26))*Calculator!$B$11,Calculator!$B$12)</f>
        <v>45050</v>
      </c>
      <c r="J78" s="11" t="n">
        <f aca="false">MAX(H78,0)-I78</f>
        <v>322450</v>
      </c>
      <c r="K78" s="11" t="n">
        <f aca="false">MIN(IF(A78&gt;0,Calculator!$B$13,0)+E78+Calculator!$B$14,'Tax Tables'!$B$36)</f>
        <v>1000</v>
      </c>
      <c r="L78" s="11" t="n">
        <f aca="false">MAX(A78-K78,0)</f>
        <v>31500</v>
      </c>
      <c r="M78" s="11" t="n">
        <f aca="false">SUMPRODUCT((L78&gt;'Tax Tables'!$A$5:$A$17)*(L78-'Tax Tables'!$A$5:$A$17)*'Tax Tables'!$C$5:$C$17)</f>
        <v>252.5</v>
      </c>
      <c r="N78" s="11" t="n">
        <f aca="false">IF(H78&lt;0,-1E+099,A78-E78-M78+J78+(E78+F78)*Calculator!$B$9)</f>
        <v>354697.5</v>
      </c>
      <c r="O78" s="2"/>
      <c r="P78" s="11" t="n">
        <f aca="false">65*$B$3</f>
        <v>32500</v>
      </c>
      <c r="Q78" s="11" t="n">
        <f aca="false">MIN(P78,'Tax Tables'!$B$31*'Tax Tables'!$B$32)</f>
        <v>32500</v>
      </c>
      <c r="R78" s="11" t="n">
        <f aca="false">P78-Q78</f>
        <v>0</v>
      </c>
      <c r="S78" s="11" t="n">
        <f aca="false">IF(Calculator!$B$6="Yes",MIN(Q78,'Tax Tables'!$B$31*'Tax Tables'!$B$32),0)</f>
        <v>32500</v>
      </c>
      <c r="T78" s="11" t="n">
        <f aca="false">S78*Calculator!$B$7</f>
        <v>6500</v>
      </c>
      <c r="U78" s="11" t="n">
        <f aca="false">S78*Calculator!$B$8</f>
        <v>5525</v>
      </c>
      <c r="V78" s="11" t="n">
        <f aca="false">IF(Q78&gt;0,'Tax Tables'!$B$32*MIN(MAX(Q78/'Tax Tables'!$B$32*'Tax Tables'!$B$33,'Tax Tables'!$B$34),'Tax Tables'!$B$35),0)</f>
        <v>81.25</v>
      </c>
      <c r="W78" s="11" t="n">
        <f aca="false">Calculator!$B$5-P78-U78-V78</f>
        <v>361893.75</v>
      </c>
      <c r="X78" s="11" t="n">
        <f aca="false">'Tax Tables'!$B$22*(MAX(W78,0)-IF(Calculator!$B$10="Yes",MIN(MAX(W78,0),'Tax Tables'!$B$27)*'Tax Tables'!$B$28+MIN(MAX(MAX(W78,0)-'Tax Tables'!$B$27,0),'Tax Tables'!$B$29)*'Tax Tables'!$B$30,MIN(MAX(W78,0),'Tax Tables'!$B$23)*'Tax Tables'!$B$24+MIN(MAX(MAX(W78,0)-'Tax Tables'!$B$23,0),'Tax Tables'!$B$25)*'Tax Tables'!$B$26))*1-MIN('Tax Tables'!$B$22*(MAX(W78,0)-IF(Calculator!$B$10="Yes",MIN(MAX(W78,0),'Tax Tables'!$B$27)*'Tax Tables'!$B$28+MIN(MAX(MAX(W78,0)-'Tax Tables'!$B$27,0),'Tax Tables'!$B$29)*'Tax Tables'!$B$30,MIN(MAX(W78,0),'Tax Tables'!$B$23)*'Tax Tables'!$B$24+MIN(MAX(MAX(W78,0)-'Tax Tables'!$B$23,0),'Tax Tables'!$B$25)*'Tax Tables'!$B$26))*Calculator!$B$11,Calculator!$B$12)</f>
        <v>44096.9375</v>
      </c>
      <c r="Y78" s="11" t="n">
        <f aca="false">MAX(W78,0)-X78</f>
        <v>317796.8125</v>
      </c>
      <c r="Z78" s="11" t="n">
        <f aca="false">MIN(IF(P78&gt;0,Calculator!$B$13,0)+T78+Calculator!$B$14,'Tax Tables'!$B$36)</f>
        <v>7500</v>
      </c>
      <c r="AA78" s="11" t="n">
        <f aca="false">MAX(P78-Z78,0)</f>
        <v>25000</v>
      </c>
      <c r="AB78" s="11" t="n">
        <f aca="false">SUMPRODUCT((AA78&gt;'Tax Tables'!$A$5:$A$17)*(AA78-'Tax Tables'!$A$5:$A$17)*'Tax Tables'!$C$5:$C$17)</f>
        <v>100</v>
      </c>
      <c r="AC78" s="11" t="n">
        <f aca="false">IF(W78&lt;0,-1E+099,P78-T78-AB78+Y78+(T78+U78)*Calculator!$B$9)</f>
        <v>355721.8125</v>
      </c>
    </row>
    <row r="79" customFormat="false" ht="15" hidden="false" customHeight="false" outlineLevel="0" collapsed="false">
      <c r="A79" s="11" t="n">
        <f aca="false">66*$B$3</f>
        <v>33000</v>
      </c>
      <c r="B79" s="11" t="n">
        <f aca="false">0</f>
        <v>0</v>
      </c>
      <c r="C79" s="11" t="n">
        <f aca="false">A79-B79</f>
        <v>33000</v>
      </c>
      <c r="D79" s="11" t="n">
        <f aca="false">IF(Calculator!$B$6="Yes",MIN(B79,'Tax Tables'!$B$31*'Tax Tables'!$B$32),0)</f>
        <v>0</v>
      </c>
      <c r="E79" s="11" t="n">
        <f aca="false">D79*Calculator!$B$7</f>
        <v>0</v>
      </c>
      <c r="F79" s="11" t="n">
        <f aca="false">D79*Calculator!$B$8</f>
        <v>0</v>
      </c>
      <c r="G79" s="11" t="n">
        <f aca="false">IF(B79&gt;0,'Tax Tables'!$B$32*MIN(MAX(B79/'Tax Tables'!$B$32*'Tax Tables'!$B$33,'Tax Tables'!$B$34),'Tax Tables'!$B$35),0)</f>
        <v>0</v>
      </c>
      <c r="H79" s="11" t="n">
        <f aca="false">Calculator!$B$5-A79-F79-G79</f>
        <v>367000</v>
      </c>
      <c r="I79" s="11" t="n">
        <f aca="false">'Tax Tables'!$B$22*(MAX(H79,0)-IF(Calculator!$B$10="Yes",MIN(MAX(H79,0),'Tax Tables'!$B$27)*'Tax Tables'!$B$28+MIN(MAX(MAX(H79,0)-'Tax Tables'!$B$27,0),'Tax Tables'!$B$29)*'Tax Tables'!$B$30,MIN(MAX(H79,0),'Tax Tables'!$B$23)*'Tax Tables'!$B$24+MIN(MAX(MAX(H79,0)-'Tax Tables'!$B$23,0),'Tax Tables'!$B$25)*'Tax Tables'!$B$26))*1-MIN('Tax Tables'!$B$22*(MAX(H79,0)-IF(Calculator!$B$10="Yes",MIN(MAX(H79,0),'Tax Tables'!$B$27)*'Tax Tables'!$B$28+MIN(MAX(MAX(H79,0)-'Tax Tables'!$B$27,0),'Tax Tables'!$B$29)*'Tax Tables'!$B$30,MIN(MAX(H79,0),'Tax Tables'!$B$23)*'Tax Tables'!$B$24+MIN(MAX(MAX(H79,0)-'Tax Tables'!$B$23,0),'Tax Tables'!$B$25)*'Tax Tables'!$B$26))*Calculator!$B$11,Calculator!$B$12)</f>
        <v>44965</v>
      </c>
      <c r="J79" s="11" t="n">
        <f aca="false">MAX(H79,0)-I79</f>
        <v>322035</v>
      </c>
      <c r="K79" s="11" t="n">
        <f aca="false">MIN(IF(A79&gt;0,Calculator!$B$13,0)+E79+Calculator!$B$14,'Tax Tables'!$B$36)</f>
        <v>1000</v>
      </c>
      <c r="L79" s="11" t="n">
        <f aca="false">MAX(A79-K79,0)</f>
        <v>32000</v>
      </c>
      <c r="M79" s="11" t="n">
        <f aca="false">SUMPRODUCT((L79&gt;'Tax Tables'!$A$5:$A$17)*(L79-'Tax Tables'!$A$5:$A$17)*'Tax Tables'!$C$5:$C$17)</f>
        <v>270</v>
      </c>
      <c r="N79" s="11" t="n">
        <f aca="false">IF(H79&lt;0,-1E+099,A79-E79-M79+J79+(E79+F79)*Calculator!$B$9)</f>
        <v>354765</v>
      </c>
      <c r="O79" s="2"/>
      <c r="P79" s="11" t="n">
        <f aca="false">66*$B$3</f>
        <v>33000</v>
      </c>
      <c r="Q79" s="11" t="n">
        <f aca="false">MIN(P79,'Tax Tables'!$B$31*'Tax Tables'!$B$32)</f>
        <v>33000</v>
      </c>
      <c r="R79" s="11" t="n">
        <f aca="false">P79-Q79</f>
        <v>0</v>
      </c>
      <c r="S79" s="11" t="n">
        <f aca="false">IF(Calculator!$B$6="Yes",MIN(Q79,'Tax Tables'!$B$31*'Tax Tables'!$B$32),0)</f>
        <v>33000</v>
      </c>
      <c r="T79" s="11" t="n">
        <f aca="false">S79*Calculator!$B$7</f>
        <v>6600</v>
      </c>
      <c r="U79" s="11" t="n">
        <f aca="false">S79*Calculator!$B$8</f>
        <v>5610</v>
      </c>
      <c r="V79" s="11" t="n">
        <f aca="false">IF(Q79&gt;0,'Tax Tables'!$B$32*MIN(MAX(Q79/'Tax Tables'!$B$32*'Tax Tables'!$B$33,'Tax Tables'!$B$34),'Tax Tables'!$B$35),0)</f>
        <v>82.5</v>
      </c>
      <c r="W79" s="11" t="n">
        <f aca="false">Calculator!$B$5-P79-U79-V79</f>
        <v>361307.5</v>
      </c>
      <c r="X79" s="11" t="n">
        <f aca="false">'Tax Tables'!$B$22*(MAX(W79,0)-IF(Calculator!$B$10="Yes",MIN(MAX(W79,0),'Tax Tables'!$B$27)*'Tax Tables'!$B$28+MIN(MAX(MAX(W79,0)-'Tax Tables'!$B$27,0),'Tax Tables'!$B$29)*'Tax Tables'!$B$30,MIN(MAX(W79,0),'Tax Tables'!$B$23)*'Tax Tables'!$B$24+MIN(MAX(MAX(W79,0)-'Tax Tables'!$B$23,0),'Tax Tables'!$B$25)*'Tax Tables'!$B$26))*1-MIN('Tax Tables'!$B$22*(MAX(W79,0)-IF(Calculator!$B$10="Yes",MIN(MAX(W79,0),'Tax Tables'!$B$27)*'Tax Tables'!$B$28+MIN(MAX(MAX(W79,0)-'Tax Tables'!$B$27,0),'Tax Tables'!$B$29)*'Tax Tables'!$B$30,MIN(MAX(W79,0),'Tax Tables'!$B$23)*'Tax Tables'!$B$24+MIN(MAX(MAX(W79,0)-'Tax Tables'!$B$23,0),'Tax Tables'!$B$25)*'Tax Tables'!$B$26))*Calculator!$B$11,Calculator!$B$12)</f>
        <v>43997.275</v>
      </c>
      <c r="Y79" s="11" t="n">
        <f aca="false">MAX(W79,0)-X79</f>
        <v>317310.225</v>
      </c>
      <c r="Z79" s="11" t="n">
        <f aca="false">MIN(IF(P79&gt;0,Calculator!$B$13,0)+T79+Calculator!$B$14,'Tax Tables'!$B$36)</f>
        <v>7600</v>
      </c>
      <c r="AA79" s="11" t="n">
        <f aca="false">MAX(P79-Z79,0)</f>
        <v>25400</v>
      </c>
      <c r="AB79" s="11" t="n">
        <f aca="false">SUMPRODUCT((AA79&gt;'Tax Tables'!$A$5:$A$17)*(AA79-'Tax Tables'!$A$5:$A$17)*'Tax Tables'!$C$5:$C$17)</f>
        <v>108</v>
      </c>
      <c r="AC79" s="11" t="n">
        <f aca="false">IF(W79&lt;0,-1E+099,P79-T79-AB79+Y79+(T79+U79)*Calculator!$B$9)</f>
        <v>355812.225</v>
      </c>
    </row>
    <row r="80" customFormat="false" ht="15" hidden="false" customHeight="false" outlineLevel="0" collapsed="false">
      <c r="A80" s="11" t="n">
        <f aca="false">67*$B$3</f>
        <v>33500</v>
      </c>
      <c r="B80" s="11" t="n">
        <f aca="false">0</f>
        <v>0</v>
      </c>
      <c r="C80" s="11" t="n">
        <f aca="false">A80-B80</f>
        <v>33500</v>
      </c>
      <c r="D80" s="11" t="n">
        <f aca="false">IF(Calculator!$B$6="Yes",MIN(B80,'Tax Tables'!$B$31*'Tax Tables'!$B$32),0)</f>
        <v>0</v>
      </c>
      <c r="E80" s="11" t="n">
        <f aca="false">D80*Calculator!$B$7</f>
        <v>0</v>
      </c>
      <c r="F80" s="11" t="n">
        <f aca="false">D80*Calculator!$B$8</f>
        <v>0</v>
      </c>
      <c r="G80" s="11" t="n">
        <f aca="false">IF(B80&gt;0,'Tax Tables'!$B$32*MIN(MAX(B80/'Tax Tables'!$B$32*'Tax Tables'!$B$33,'Tax Tables'!$B$34),'Tax Tables'!$B$35),0)</f>
        <v>0</v>
      </c>
      <c r="H80" s="11" t="n">
        <f aca="false">Calculator!$B$5-A80-F80-G80</f>
        <v>366500</v>
      </c>
      <c r="I80" s="11" t="n">
        <f aca="false">'Tax Tables'!$B$22*(MAX(H80,0)-IF(Calculator!$B$10="Yes",MIN(MAX(H80,0),'Tax Tables'!$B$27)*'Tax Tables'!$B$28+MIN(MAX(MAX(H80,0)-'Tax Tables'!$B$27,0),'Tax Tables'!$B$29)*'Tax Tables'!$B$30,MIN(MAX(H80,0),'Tax Tables'!$B$23)*'Tax Tables'!$B$24+MIN(MAX(MAX(H80,0)-'Tax Tables'!$B$23,0),'Tax Tables'!$B$25)*'Tax Tables'!$B$26))*1-MIN('Tax Tables'!$B$22*(MAX(H80,0)-IF(Calculator!$B$10="Yes",MIN(MAX(H80,0),'Tax Tables'!$B$27)*'Tax Tables'!$B$28+MIN(MAX(MAX(H80,0)-'Tax Tables'!$B$27,0),'Tax Tables'!$B$29)*'Tax Tables'!$B$30,MIN(MAX(H80,0),'Tax Tables'!$B$23)*'Tax Tables'!$B$24+MIN(MAX(MAX(H80,0)-'Tax Tables'!$B$23,0),'Tax Tables'!$B$25)*'Tax Tables'!$B$26))*Calculator!$B$11,Calculator!$B$12)</f>
        <v>44880</v>
      </c>
      <c r="J80" s="11" t="n">
        <f aca="false">MAX(H80,0)-I80</f>
        <v>321620</v>
      </c>
      <c r="K80" s="11" t="n">
        <f aca="false">MIN(IF(A80&gt;0,Calculator!$B$13,0)+E80+Calculator!$B$14,'Tax Tables'!$B$36)</f>
        <v>1000</v>
      </c>
      <c r="L80" s="11" t="n">
        <f aca="false">MAX(A80-K80,0)</f>
        <v>32500</v>
      </c>
      <c r="M80" s="11" t="n">
        <f aca="false">SUMPRODUCT((L80&gt;'Tax Tables'!$A$5:$A$17)*(L80-'Tax Tables'!$A$5:$A$17)*'Tax Tables'!$C$5:$C$17)</f>
        <v>287.5</v>
      </c>
      <c r="N80" s="11" t="n">
        <f aca="false">IF(H80&lt;0,-1E+099,A80-E80-M80+J80+(E80+F80)*Calculator!$B$9)</f>
        <v>354832.5</v>
      </c>
      <c r="O80" s="2"/>
      <c r="P80" s="11" t="n">
        <f aca="false">67*$B$3</f>
        <v>33500</v>
      </c>
      <c r="Q80" s="11" t="n">
        <f aca="false">MIN(P80,'Tax Tables'!$B$31*'Tax Tables'!$B$32)</f>
        <v>33500</v>
      </c>
      <c r="R80" s="11" t="n">
        <f aca="false">P80-Q80</f>
        <v>0</v>
      </c>
      <c r="S80" s="11" t="n">
        <f aca="false">IF(Calculator!$B$6="Yes",MIN(Q80,'Tax Tables'!$B$31*'Tax Tables'!$B$32),0)</f>
        <v>33500</v>
      </c>
      <c r="T80" s="11" t="n">
        <f aca="false">S80*Calculator!$B$7</f>
        <v>6700</v>
      </c>
      <c r="U80" s="11" t="n">
        <f aca="false">S80*Calculator!$B$8</f>
        <v>5695</v>
      </c>
      <c r="V80" s="11" t="n">
        <f aca="false">IF(Q80&gt;0,'Tax Tables'!$B$32*MIN(MAX(Q80/'Tax Tables'!$B$32*'Tax Tables'!$B$33,'Tax Tables'!$B$34),'Tax Tables'!$B$35),0)</f>
        <v>83.75</v>
      </c>
      <c r="W80" s="11" t="n">
        <f aca="false">Calculator!$B$5-P80-U80-V80</f>
        <v>360721.25</v>
      </c>
      <c r="X80" s="11" t="n">
        <f aca="false">'Tax Tables'!$B$22*(MAX(W80,0)-IF(Calculator!$B$10="Yes",MIN(MAX(W80,0),'Tax Tables'!$B$27)*'Tax Tables'!$B$28+MIN(MAX(MAX(W80,0)-'Tax Tables'!$B$27,0),'Tax Tables'!$B$29)*'Tax Tables'!$B$30,MIN(MAX(W80,0),'Tax Tables'!$B$23)*'Tax Tables'!$B$24+MIN(MAX(MAX(W80,0)-'Tax Tables'!$B$23,0),'Tax Tables'!$B$25)*'Tax Tables'!$B$26))*1-MIN('Tax Tables'!$B$22*(MAX(W80,0)-IF(Calculator!$B$10="Yes",MIN(MAX(W80,0),'Tax Tables'!$B$27)*'Tax Tables'!$B$28+MIN(MAX(MAX(W80,0)-'Tax Tables'!$B$27,0),'Tax Tables'!$B$29)*'Tax Tables'!$B$30,MIN(MAX(W80,0),'Tax Tables'!$B$23)*'Tax Tables'!$B$24+MIN(MAX(MAX(W80,0)-'Tax Tables'!$B$23,0),'Tax Tables'!$B$25)*'Tax Tables'!$B$26))*Calculator!$B$11,Calculator!$B$12)</f>
        <v>43897.6125</v>
      </c>
      <c r="Y80" s="11" t="n">
        <f aca="false">MAX(W80,0)-X80</f>
        <v>316823.6375</v>
      </c>
      <c r="Z80" s="11" t="n">
        <f aca="false">MIN(IF(P80&gt;0,Calculator!$B$13,0)+T80+Calculator!$B$14,'Tax Tables'!$B$36)</f>
        <v>7700</v>
      </c>
      <c r="AA80" s="11" t="n">
        <f aca="false">MAX(P80-Z80,0)</f>
        <v>25800</v>
      </c>
      <c r="AB80" s="11" t="n">
        <f aca="false">SUMPRODUCT((AA80&gt;'Tax Tables'!$A$5:$A$17)*(AA80-'Tax Tables'!$A$5:$A$17)*'Tax Tables'!$C$5:$C$17)</f>
        <v>116</v>
      </c>
      <c r="AC80" s="11" t="n">
        <f aca="false">IF(W80&lt;0,-1E+099,P80-T80-AB80+Y80+(T80+U80)*Calculator!$B$9)</f>
        <v>355902.6375</v>
      </c>
    </row>
    <row r="81" customFormat="false" ht="15" hidden="false" customHeight="false" outlineLevel="0" collapsed="false">
      <c r="A81" s="11" t="n">
        <f aca="false">68*$B$3</f>
        <v>34000</v>
      </c>
      <c r="B81" s="11" t="n">
        <f aca="false">0</f>
        <v>0</v>
      </c>
      <c r="C81" s="11" t="n">
        <f aca="false">A81-B81</f>
        <v>34000</v>
      </c>
      <c r="D81" s="11" t="n">
        <f aca="false">IF(Calculator!$B$6="Yes",MIN(B81,'Tax Tables'!$B$31*'Tax Tables'!$B$32),0)</f>
        <v>0</v>
      </c>
      <c r="E81" s="11" t="n">
        <f aca="false">D81*Calculator!$B$7</f>
        <v>0</v>
      </c>
      <c r="F81" s="11" t="n">
        <f aca="false">D81*Calculator!$B$8</f>
        <v>0</v>
      </c>
      <c r="G81" s="11" t="n">
        <f aca="false">IF(B81&gt;0,'Tax Tables'!$B$32*MIN(MAX(B81/'Tax Tables'!$B$32*'Tax Tables'!$B$33,'Tax Tables'!$B$34),'Tax Tables'!$B$35),0)</f>
        <v>0</v>
      </c>
      <c r="H81" s="11" t="n">
        <f aca="false">Calculator!$B$5-A81-F81-G81</f>
        <v>366000</v>
      </c>
      <c r="I81" s="11" t="n">
        <f aca="false">'Tax Tables'!$B$22*(MAX(H81,0)-IF(Calculator!$B$10="Yes",MIN(MAX(H81,0),'Tax Tables'!$B$27)*'Tax Tables'!$B$28+MIN(MAX(MAX(H81,0)-'Tax Tables'!$B$27,0),'Tax Tables'!$B$29)*'Tax Tables'!$B$30,MIN(MAX(H81,0),'Tax Tables'!$B$23)*'Tax Tables'!$B$24+MIN(MAX(MAX(H81,0)-'Tax Tables'!$B$23,0),'Tax Tables'!$B$25)*'Tax Tables'!$B$26))*1-MIN('Tax Tables'!$B$22*(MAX(H81,0)-IF(Calculator!$B$10="Yes",MIN(MAX(H81,0),'Tax Tables'!$B$27)*'Tax Tables'!$B$28+MIN(MAX(MAX(H81,0)-'Tax Tables'!$B$27,0),'Tax Tables'!$B$29)*'Tax Tables'!$B$30,MIN(MAX(H81,0),'Tax Tables'!$B$23)*'Tax Tables'!$B$24+MIN(MAX(MAX(H81,0)-'Tax Tables'!$B$23,0),'Tax Tables'!$B$25)*'Tax Tables'!$B$26))*Calculator!$B$11,Calculator!$B$12)</f>
        <v>44795</v>
      </c>
      <c r="J81" s="11" t="n">
        <f aca="false">MAX(H81,0)-I81</f>
        <v>321205</v>
      </c>
      <c r="K81" s="11" t="n">
        <f aca="false">MIN(IF(A81&gt;0,Calculator!$B$13,0)+E81+Calculator!$B$14,'Tax Tables'!$B$36)</f>
        <v>1000</v>
      </c>
      <c r="L81" s="11" t="n">
        <f aca="false">MAX(A81-K81,0)</f>
        <v>33000</v>
      </c>
      <c r="M81" s="11" t="n">
        <f aca="false">SUMPRODUCT((L81&gt;'Tax Tables'!$A$5:$A$17)*(L81-'Tax Tables'!$A$5:$A$17)*'Tax Tables'!$C$5:$C$17)</f>
        <v>305</v>
      </c>
      <c r="N81" s="11" t="n">
        <f aca="false">IF(H81&lt;0,-1E+099,A81-E81-M81+J81+(E81+F81)*Calculator!$B$9)</f>
        <v>354900</v>
      </c>
      <c r="O81" s="2"/>
      <c r="P81" s="11" t="n">
        <f aca="false">68*$B$3</f>
        <v>34000</v>
      </c>
      <c r="Q81" s="11" t="n">
        <f aca="false">MIN(P81,'Tax Tables'!$B$31*'Tax Tables'!$B$32)</f>
        <v>34000</v>
      </c>
      <c r="R81" s="11" t="n">
        <f aca="false">P81-Q81</f>
        <v>0</v>
      </c>
      <c r="S81" s="11" t="n">
        <f aca="false">IF(Calculator!$B$6="Yes",MIN(Q81,'Tax Tables'!$B$31*'Tax Tables'!$B$32),0)</f>
        <v>34000</v>
      </c>
      <c r="T81" s="11" t="n">
        <f aca="false">S81*Calculator!$B$7</f>
        <v>6800</v>
      </c>
      <c r="U81" s="11" t="n">
        <f aca="false">S81*Calculator!$B$8</f>
        <v>5780</v>
      </c>
      <c r="V81" s="11" t="n">
        <f aca="false">IF(Q81&gt;0,'Tax Tables'!$B$32*MIN(MAX(Q81/'Tax Tables'!$B$32*'Tax Tables'!$B$33,'Tax Tables'!$B$34),'Tax Tables'!$B$35),0)</f>
        <v>85</v>
      </c>
      <c r="W81" s="11" t="n">
        <f aca="false">Calculator!$B$5-P81-U81-V81</f>
        <v>360135</v>
      </c>
      <c r="X81" s="11" t="n">
        <f aca="false">'Tax Tables'!$B$22*(MAX(W81,0)-IF(Calculator!$B$10="Yes",MIN(MAX(W81,0),'Tax Tables'!$B$27)*'Tax Tables'!$B$28+MIN(MAX(MAX(W81,0)-'Tax Tables'!$B$27,0),'Tax Tables'!$B$29)*'Tax Tables'!$B$30,MIN(MAX(W81,0),'Tax Tables'!$B$23)*'Tax Tables'!$B$24+MIN(MAX(MAX(W81,0)-'Tax Tables'!$B$23,0),'Tax Tables'!$B$25)*'Tax Tables'!$B$26))*1-MIN('Tax Tables'!$B$22*(MAX(W81,0)-IF(Calculator!$B$10="Yes",MIN(MAX(W81,0),'Tax Tables'!$B$27)*'Tax Tables'!$B$28+MIN(MAX(MAX(W81,0)-'Tax Tables'!$B$27,0),'Tax Tables'!$B$29)*'Tax Tables'!$B$30,MIN(MAX(W81,0),'Tax Tables'!$B$23)*'Tax Tables'!$B$24+MIN(MAX(MAX(W81,0)-'Tax Tables'!$B$23,0),'Tax Tables'!$B$25)*'Tax Tables'!$B$26))*Calculator!$B$11,Calculator!$B$12)</f>
        <v>43797.95</v>
      </c>
      <c r="Y81" s="11" t="n">
        <f aca="false">MAX(W81,0)-X81</f>
        <v>316337.05</v>
      </c>
      <c r="Z81" s="11" t="n">
        <f aca="false">MIN(IF(P81&gt;0,Calculator!$B$13,0)+T81+Calculator!$B$14,'Tax Tables'!$B$36)</f>
        <v>7800</v>
      </c>
      <c r="AA81" s="11" t="n">
        <f aca="false">MAX(P81-Z81,0)</f>
        <v>26200</v>
      </c>
      <c r="AB81" s="11" t="n">
        <f aca="false">SUMPRODUCT((AA81&gt;'Tax Tables'!$A$5:$A$17)*(AA81-'Tax Tables'!$A$5:$A$17)*'Tax Tables'!$C$5:$C$17)</f>
        <v>124</v>
      </c>
      <c r="AC81" s="11" t="n">
        <f aca="false">IF(W81&lt;0,-1E+099,P81-T81-AB81+Y81+(T81+U81)*Calculator!$B$9)</f>
        <v>355993.05</v>
      </c>
    </row>
    <row r="82" customFormat="false" ht="15" hidden="false" customHeight="false" outlineLevel="0" collapsed="false">
      <c r="A82" s="11" t="n">
        <f aca="false">69*$B$3</f>
        <v>34500</v>
      </c>
      <c r="B82" s="11" t="n">
        <f aca="false">0</f>
        <v>0</v>
      </c>
      <c r="C82" s="11" t="n">
        <f aca="false">A82-B82</f>
        <v>34500</v>
      </c>
      <c r="D82" s="11" t="n">
        <f aca="false">IF(Calculator!$B$6="Yes",MIN(B82,'Tax Tables'!$B$31*'Tax Tables'!$B$32),0)</f>
        <v>0</v>
      </c>
      <c r="E82" s="11" t="n">
        <f aca="false">D82*Calculator!$B$7</f>
        <v>0</v>
      </c>
      <c r="F82" s="11" t="n">
        <f aca="false">D82*Calculator!$B$8</f>
        <v>0</v>
      </c>
      <c r="G82" s="11" t="n">
        <f aca="false">IF(B82&gt;0,'Tax Tables'!$B$32*MIN(MAX(B82/'Tax Tables'!$B$32*'Tax Tables'!$B$33,'Tax Tables'!$B$34),'Tax Tables'!$B$35),0)</f>
        <v>0</v>
      </c>
      <c r="H82" s="11" t="n">
        <f aca="false">Calculator!$B$5-A82-F82-G82</f>
        <v>365500</v>
      </c>
      <c r="I82" s="11" t="n">
        <f aca="false">'Tax Tables'!$B$22*(MAX(H82,0)-IF(Calculator!$B$10="Yes",MIN(MAX(H82,0),'Tax Tables'!$B$27)*'Tax Tables'!$B$28+MIN(MAX(MAX(H82,0)-'Tax Tables'!$B$27,0),'Tax Tables'!$B$29)*'Tax Tables'!$B$30,MIN(MAX(H82,0),'Tax Tables'!$B$23)*'Tax Tables'!$B$24+MIN(MAX(MAX(H82,0)-'Tax Tables'!$B$23,0),'Tax Tables'!$B$25)*'Tax Tables'!$B$26))*1-MIN('Tax Tables'!$B$22*(MAX(H82,0)-IF(Calculator!$B$10="Yes",MIN(MAX(H82,0),'Tax Tables'!$B$27)*'Tax Tables'!$B$28+MIN(MAX(MAX(H82,0)-'Tax Tables'!$B$27,0),'Tax Tables'!$B$29)*'Tax Tables'!$B$30,MIN(MAX(H82,0),'Tax Tables'!$B$23)*'Tax Tables'!$B$24+MIN(MAX(MAX(H82,0)-'Tax Tables'!$B$23,0),'Tax Tables'!$B$25)*'Tax Tables'!$B$26))*Calculator!$B$11,Calculator!$B$12)</f>
        <v>44710</v>
      </c>
      <c r="J82" s="11" t="n">
        <f aca="false">MAX(H82,0)-I82</f>
        <v>320790</v>
      </c>
      <c r="K82" s="11" t="n">
        <f aca="false">MIN(IF(A82&gt;0,Calculator!$B$13,0)+E82+Calculator!$B$14,'Tax Tables'!$B$36)</f>
        <v>1000</v>
      </c>
      <c r="L82" s="11" t="n">
        <f aca="false">MAX(A82-K82,0)</f>
        <v>33500</v>
      </c>
      <c r="M82" s="11" t="n">
        <f aca="false">SUMPRODUCT((L82&gt;'Tax Tables'!$A$5:$A$17)*(L82-'Tax Tables'!$A$5:$A$17)*'Tax Tables'!$C$5:$C$17)</f>
        <v>322.5</v>
      </c>
      <c r="N82" s="11" t="n">
        <f aca="false">IF(H82&lt;0,-1E+099,A82-E82-M82+J82+(E82+F82)*Calculator!$B$9)</f>
        <v>354967.5</v>
      </c>
      <c r="O82" s="2"/>
      <c r="P82" s="11" t="n">
        <f aca="false">69*$B$3</f>
        <v>34500</v>
      </c>
      <c r="Q82" s="11" t="n">
        <f aca="false">MIN(P82,'Tax Tables'!$B$31*'Tax Tables'!$B$32)</f>
        <v>34500</v>
      </c>
      <c r="R82" s="11" t="n">
        <f aca="false">P82-Q82</f>
        <v>0</v>
      </c>
      <c r="S82" s="11" t="n">
        <f aca="false">IF(Calculator!$B$6="Yes",MIN(Q82,'Tax Tables'!$B$31*'Tax Tables'!$B$32),0)</f>
        <v>34500</v>
      </c>
      <c r="T82" s="11" t="n">
        <f aca="false">S82*Calculator!$B$7</f>
        <v>6900</v>
      </c>
      <c r="U82" s="11" t="n">
        <f aca="false">S82*Calculator!$B$8</f>
        <v>5865</v>
      </c>
      <c r="V82" s="11" t="n">
        <f aca="false">IF(Q82&gt;0,'Tax Tables'!$B$32*MIN(MAX(Q82/'Tax Tables'!$B$32*'Tax Tables'!$B$33,'Tax Tables'!$B$34),'Tax Tables'!$B$35),0)</f>
        <v>86.25</v>
      </c>
      <c r="W82" s="11" t="n">
        <f aca="false">Calculator!$B$5-P82-U82-V82</f>
        <v>359548.75</v>
      </c>
      <c r="X82" s="11" t="n">
        <f aca="false">'Tax Tables'!$B$22*(MAX(W82,0)-IF(Calculator!$B$10="Yes",MIN(MAX(W82,0),'Tax Tables'!$B$27)*'Tax Tables'!$B$28+MIN(MAX(MAX(W82,0)-'Tax Tables'!$B$27,0),'Tax Tables'!$B$29)*'Tax Tables'!$B$30,MIN(MAX(W82,0),'Tax Tables'!$B$23)*'Tax Tables'!$B$24+MIN(MAX(MAX(W82,0)-'Tax Tables'!$B$23,0),'Tax Tables'!$B$25)*'Tax Tables'!$B$26))*1-MIN('Tax Tables'!$B$22*(MAX(W82,0)-IF(Calculator!$B$10="Yes",MIN(MAX(W82,0),'Tax Tables'!$B$27)*'Tax Tables'!$B$28+MIN(MAX(MAX(W82,0)-'Tax Tables'!$B$27,0),'Tax Tables'!$B$29)*'Tax Tables'!$B$30,MIN(MAX(W82,0),'Tax Tables'!$B$23)*'Tax Tables'!$B$24+MIN(MAX(MAX(W82,0)-'Tax Tables'!$B$23,0),'Tax Tables'!$B$25)*'Tax Tables'!$B$26))*Calculator!$B$11,Calculator!$B$12)</f>
        <v>43698.2875</v>
      </c>
      <c r="Y82" s="11" t="n">
        <f aca="false">MAX(W82,0)-X82</f>
        <v>315850.4625</v>
      </c>
      <c r="Z82" s="11" t="n">
        <f aca="false">MIN(IF(P82&gt;0,Calculator!$B$13,0)+T82+Calculator!$B$14,'Tax Tables'!$B$36)</f>
        <v>7900</v>
      </c>
      <c r="AA82" s="11" t="n">
        <f aca="false">MAX(P82-Z82,0)</f>
        <v>26600</v>
      </c>
      <c r="AB82" s="11" t="n">
        <f aca="false">SUMPRODUCT((AA82&gt;'Tax Tables'!$A$5:$A$17)*(AA82-'Tax Tables'!$A$5:$A$17)*'Tax Tables'!$C$5:$C$17)</f>
        <v>132</v>
      </c>
      <c r="AC82" s="11" t="n">
        <f aca="false">IF(W82&lt;0,-1E+099,P82-T82-AB82+Y82+(T82+U82)*Calculator!$B$9)</f>
        <v>356083.4625</v>
      </c>
    </row>
    <row r="83" customFormat="false" ht="15" hidden="false" customHeight="false" outlineLevel="0" collapsed="false">
      <c r="A83" s="11" t="n">
        <f aca="false">70*$B$3</f>
        <v>35000</v>
      </c>
      <c r="B83" s="11" t="n">
        <f aca="false">0</f>
        <v>0</v>
      </c>
      <c r="C83" s="11" t="n">
        <f aca="false">A83-B83</f>
        <v>35000</v>
      </c>
      <c r="D83" s="11" t="n">
        <f aca="false">IF(Calculator!$B$6="Yes",MIN(B83,'Tax Tables'!$B$31*'Tax Tables'!$B$32),0)</f>
        <v>0</v>
      </c>
      <c r="E83" s="11" t="n">
        <f aca="false">D83*Calculator!$B$7</f>
        <v>0</v>
      </c>
      <c r="F83" s="11" t="n">
        <f aca="false">D83*Calculator!$B$8</f>
        <v>0</v>
      </c>
      <c r="G83" s="11" t="n">
        <f aca="false">IF(B83&gt;0,'Tax Tables'!$B$32*MIN(MAX(B83/'Tax Tables'!$B$32*'Tax Tables'!$B$33,'Tax Tables'!$B$34),'Tax Tables'!$B$35),0)</f>
        <v>0</v>
      </c>
      <c r="H83" s="11" t="n">
        <f aca="false">Calculator!$B$5-A83-F83-G83</f>
        <v>365000</v>
      </c>
      <c r="I83" s="11" t="n">
        <f aca="false">'Tax Tables'!$B$22*(MAX(H83,0)-IF(Calculator!$B$10="Yes",MIN(MAX(H83,0),'Tax Tables'!$B$27)*'Tax Tables'!$B$28+MIN(MAX(MAX(H83,0)-'Tax Tables'!$B$27,0),'Tax Tables'!$B$29)*'Tax Tables'!$B$30,MIN(MAX(H83,0),'Tax Tables'!$B$23)*'Tax Tables'!$B$24+MIN(MAX(MAX(H83,0)-'Tax Tables'!$B$23,0),'Tax Tables'!$B$25)*'Tax Tables'!$B$26))*1-MIN('Tax Tables'!$B$22*(MAX(H83,0)-IF(Calculator!$B$10="Yes",MIN(MAX(H83,0),'Tax Tables'!$B$27)*'Tax Tables'!$B$28+MIN(MAX(MAX(H83,0)-'Tax Tables'!$B$27,0),'Tax Tables'!$B$29)*'Tax Tables'!$B$30,MIN(MAX(H83,0),'Tax Tables'!$B$23)*'Tax Tables'!$B$24+MIN(MAX(MAX(H83,0)-'Tax Tables'!$B$23,0),'Tax Tables'!$B$25)*'Tax Tables'!$B$26))*Calculator!$B$11,Calculator!$B$12)</f>
        <v>44625</v>
      </c>
      <c r="J83" s="11" t="n">
        <f aca="false">MAX(H83,0)-I83</f>
        <v>320375</v>
      </c>
      <c r="K83" s="11" t="n">
        <f aca="false">MIN(IF(A83&gt;0,Calculator!$B$13,0)+E83+Calculator!$B$14,'Tax Tables'!$B$36)</f>
        <v>1000</v>
      </c>
      <c r="L83" s="11" t="n">
        <f aca="false">MAX(A83-K83,0)</f>
        <v>34000</v>
      </c>
      <c r="M83" s="11" t="n">
        <f aca="false">SUMPRODUCT((L83&gt;'Tax Tables'!$A$5:$A$17)*(L83-'Tax Tables'!$A$5:$A$17)*'Tax Tables'!$C$5:$C$17)</f>
        <v>340</v>
      </c>
      <c r="N83" s="11" t="n">
        <f aca="false">IF(H83&lt;0,-1E+099,A83-E83-M83+J83+(E83+F83)*Calculator!$B$9)</f>
        <v>355035</v>
      </c>
      <c r="O83" s="2"/>
      <c r="P83" s="11" t="n">
        <f aca="false">70*$B$3</f>
        <v>35000</v>
      </c>
      <c r="Q83" s="11" t="n">
        <f aca="false">MIN(P83,'Tax Tables'!$B$31*'Tax Tables'!$B$32)</f>
        <v>35000</v>
      </c>
      <c r="R83" s="11" t="n">
        <f aca="false">P83-Q83</f>
        <v>0</v>
      </c>
      <c r="S83" s="11" t="n">
        <f aca="false">IF(Calculator!$B$6="Yes",MIN(Q83,'Tax Tables'!$B$31*'Tax Tables'!$B$32),0)</f>
        <v>35000</v>
      </c>
      <c r="T83" s="11" t="n">
        <f aca="false">S83*Calculator!$B$7</f>
        <v>7000</v>
      </c>
      <c r="U83" s="11" t="n">
        <f aca="false">S83*Calculator!$B$8</f>
        <v>5950</v>
      </c>
      <c r="V83" s="11" t="n">
        <f aca="false">IF(Q83&gt;0,'Tax Tables'!$B$32*MIN(MAX(Q83/'Tax Tables'!$B$32*'Tax Tables'!$B$33,'Tax Tables'!$B$34),'Tax Tables'!$B$35),0)</f>
        <v>87.5</v>
      </c>
      <c r="W83" s="11" t="n">
        <f aca="false">Calculator!$B$5-P83-U83-V83</f>
        <v>358962.5</v>
      </c>
      <c r="X83" s="11" t="n">
        <f aca="false">'Tax Tables'!$B$22*(MAX(W83,0)-IF(Calculator!$B$10="Yes",MIN(MAX(W83,0),'Tax Tables'!$B$27)*'Tax Tables'!$B$28+MIN(MAX(MAX(W83,0)-'Tax Tables'!$B$27,0),'Tax Tables'!$B$29)*'Tax Tables'!$B$30,MIN(MAX(W83,0),'Tax Tables'!$B$23)*'Tax Tables'!$B$24+MIN(MAX(MAX(W83,0)-'Tax Tables'!$B$23,0),'Tax Tables'!$B$25)*'Tax Tables'!$B$26))*1-MIN('Tax Tables'!$B$22*(MAX(W83,0)-IF(Calculator!$B$10="Yes",MIN(MAX(W83,0),'Tax Tables'!$B$27)*'Tax Tables'!$B$28+MIN(MAX(MAX(W83,0)-'Tax Tables'!$B$27,0),'Tax Tables'!$B$29)*'Tax Tables'!$B$30,MIN(MAX(W83,0),'Tax Tables'!$B$23)*'Tax Tables'!$B$24+MIN(MAX(MAX(W83,0)-'Tax Tables'!$B$23,0),'Tax Tables'!$B$25)*'Tax Tables'!$B$26))*Calculator!$B$11,Calculator!$B$12)</f>
        <v>43598.625</v>
      </c>
      <c r="Y83" s="11" t="n">
        <f aca="false">MAX(W83,0)-X83</f>
        <v>315363.875</v>
      </c>
      <c r="Z83" s="11" t="n">
        <f aca="false">MIN(IF(P83&gt;0,Calculator!$B$13,0)+T83+Calculator!$B$14,'Tax Tables'!$B$36)</f>
        <v>8000</v>
      </c>
      <c r="AA83" s="11" t="n">
        <f aca="false">MAX(P83-Z83,0)</f>
        <v>27000</v>
      </c>
      <c r="AB83" s="11" t="n">
        <f aca="false">SUMPRODUCT((AA83&gt;'Tax Tables'!$A$5:$A$17)*(AA83-'Tax Tables'!$A$5:$A$17)*'Tax Tables'!$C$5:$C$17)</f>
        <v>140</v>
      </c>
      <c r="AC83" s="11" t="n">
        <f aca="false">IF(W83&lt;0,-1E+099,P83-T83-AB83+Y83+(T83+U83)*Calculator!$B$9)</f>
        <v>356173.875</v>
      </c>
    </row>
    <row r="84" customFormat="false" ht="15" hidden="false" customHeight="false" outlineLevel="0" collapsed="false">
      <c r="A84" s="11" t="n">
        <f aca="false">71*$B$3</f>
        <v>35500</v>
      </c>
      <c r="B84" s="11" t="n">
        <f aca="false">0</f>
        <v>0</v>
      </c>
      <c r="C84" s="11" t="n">
        <f aca="false">A84-B84</f>
        <v>35500</v>
      </c>
      <c r="D84" s="11" t="n">
        <f aca="false">IF(Calculator!$B$6="Yes",MIN(B84,'Tax Tables'!$B$31*'Tax Tables'!$B$32),0)</f>
        <v>0</v>
      </c>
      <c r="E84" s="11" t="n">
        <f aca="false">D84*Calculator!$B$7</f>
        <v>0</v>
      </c>
      <c r="F84" s="11" t="n">
        <f aca="false">D84*Calculator!$B$8</f>
        <v>0</v>
      </c>
      <c r="G84" s="11" t="n">
        <f aca="false">IF(B84&gt;0,'Tax Tables'!$B$32*MIN(MAX(B84/'Tax Tables'!$B$32*'Tax Tables'!$B$33,'Tax Tables'!$B$34),'Tax Tables'!$B$35),0)</f>
        <v>0</v>
      </c>
      <c r="H84" s="11" t="n">
        <f aca="false">Calculator!$B$5-A84-F84-G84</f>
        <v>364500</v>
      </c>
      <c r="I84" s="11" t="n">
        <f aca="false">'Tax Tables'!$B$22*(MAX(H84,0)-IF(Calculator!$B$10="Yes",MIN(MAX(H84,0),'Tax Tables'!$B$27)*'Tax Tables'!$B$28+MIN(MAX(MAX(H84,0)-'Tax Tables'!$B$27,0),'Tax Tables'!$B$29)*'Tax Tables'!$B$30,MIN(MAX(H84,0),'Tax Tables'!$B$23)*'Tax Tables'!$B$24+MIN(MAX(MAX(H84,0)-'Tax Tables'!$B$23,0),'Tax Tables'!$B$25)*'Tax Tables'!$B$26))*1-MIN('Tax Tables'!$B$22*(MAX(H84,0)-IF(Calculator!$B$10="Yes",MIN(MAX(H84,0),'Tax Tables'!$B$27)*'Tax Tables'!$B$28+MIN(MAX(MAX(H84,0)-'Tax Tables'!$B$27,0),'Tax Tables'!$B$29)*'Tax Tables'!$B$30,MIN(MAX(H84,0),'Tax Tables'!$B$23)*'Tax Tables'!$B$24+MIN(MAX(MAX(H84,0)-'Tax Tables'!$B$23,0),'Tax Tables'!$B$25)*'Tax Tables'!$B$26))*Calculator!$B$11,Calculator!$B$12)</f>
        <v>44540</v>
      </c>
      <c r="J84" s="11" t="n">
        <f aca="false">MAX(H84,0)-I84</f>
        <v>319960</v>
      </c>
      <c r="K84" s="11" t="n">
        <f aca="false">MIN(IF(A84&gt;0,Calculator!$B$13,0)+E84+Calculator!$B$14,'Tax Tables'!$B$36)</f>
        <v>1000</v>
      </c>
      <c r="L84" s="11" t="n">
        <f aca="false">MAX(A84-K84,0)</f>
        <v>34500</v>
      </c>
      <c r="M84" s="11" t="n">
        <f aca="false">SUMPRODUCT((L84&gt;'Tax Tables'!$A$5:$A$17)*(L84-'Tax Tables'!$A$5:$A$17)*'Tax Tables'!$C$5:$C$17)</f>
        <v>357.5</v>
      </c>
      <c r="N84" s="11" t="n">
        <f aca="false">IF(H84&lt;0,-1E+099,A84-E84-M84+J84+(E84+F84)*Calculator!$B$9)</f>
        <v>355102.5</v>
      </c>
      <c r="O84" s="2"/>
      <c r="P84" s="11" t="n">
        <f aca="false">71*$B$3</f>
        <v>35500</v>
      </c>
      <c r="Q84" s="11" t="n">
        <f aca="false">MIN(P84,'Tax Tables'!$B$31*'Tax Tables'!$B$32)</f>
        <v>35500</v>
      </c>
      <c r="R84" s="11" t="n">
        <f aca="false">P84-Q84</f>
        <v>0</v>
      </c>
      <c r="S84" s="11" t="n">
        <f aca="false">IF(Calculator!$B$6="Yes",MIN(Q84,'Tax Tables'!$B$31*'Tax Tables'!$B$32),0)</f>
        <v>35500</v>
      </c>
      <c r="T84" s="11" t="n">
        <f aca="false">S84*Calculator!$B$7</f>
        <v>7100</v>
      </c>
      <c r="U84" s="11" t="n">
        <f aca="false">S84*Calculator!$B$8</f>
        <v>6035</v>
      </c>
      <c r="V84" s="11" t="n">
        <f aca="false">IF(Q84&gt;0,'Tax Tables'!$B$32*MIN(MAX(Q84/'Tax Tables'!$B$32*'Tax Tables'!$B$33,'Tax Tables'!$B$34),'Tax Tables'!$B$35),0)</f>
        <v>88.75</v>
      </c>
      <c r="W84" s="11" t="n">
        <f aca="false">Calculator!$B$5-P84-U84-V84</f>
        <v>358376.25</v>
      </c>
      <c r="X84" s="11" t="n">
        <f aca="false">'Tax Tables'!$B$22*(MAX(W84,0)-IF(Calculator!$B$10="Yes",MIN(MAX(W84,0),'Tax Tables'!$B$27)*'Tax Tables'!$B$28+MIN(MAX(MAX(W84,0)-'Tax Tables'!$B$27,0),'Tax Tables'!$B$29)*'Tax Tables'!$B$30,MIN(MAX(W84,0),'Tax Tables'!$B$23)*'Tax Tables'!$B$24+MIN(MAX(MAX(W84,0)-'Tax Tables'!$B$23,0),'Tax Tables'!$B$25)*'Tax Tables'!$B$26))*1-MIN('Tax Tables'!$B$22*(MAX(W84,0)-IF(Calculator!$B$10="Yes",MIN(MAX(W84,0),'Tax Tables'!$B$27)*'Tax Tables'!$B$28+MIN(MAX(MAX(W84,0)-'Tax Tables'!$B$27,0),'Tax Tables'!$B$29)*'Tax Tables'!$B$30,MIN(MAX(W84,0),'Tax Tables'!$B$23)*'Tax Tables'!$B$24+MIN(MAX(MAX(W84,0)-'Tax Tables'!$B$23,0),'Tax Tables'!$B$25)*'Tax Tables'!$B$26))*Calculator!$B$11,Calculator!$B$12)</f>
        <v>43498.9625</v>
      </c>
      <c r="Y84" s="11" t="n">
        <f aca="false">MAX(W84,0)-X84</f>
        <v>314877.2875</v>
      </c>
      <c r="Z84" s="11" t="n">
        <f aca="false">MIN(IF(P84&gt;0,Calculator!$B$13,0)+T84+Calculator!$B$14,'Tax Tables'!$B$36)</f>
        <v>8100</v>
      </c>
      <c r="AA84" s="11" t="n">
        <f aca="false">MAX(P84-Z84,0)</f>
        <v>27400</v>
      </c>
      <c r="AB84" s="11" t="n">
        <f aca="false">SUMPRODUCT((AA84&gt;'Tax Tables'!$A$5:$A$17)*(AA84-'Tax Tables'!$A$5:$A$17)*'Tax Tables'!$C$5:$C$17)</f>
        <v>148</v>
      </c>
      <c r="AC84" s="11" t="n">
        <f aca="false">IF(W84&lt;0,-1E+099,P84-T84-AB84+Y84+(T84+U84)*Calculator!$B$9)</f>
        <v>356264.2875</v>
      </c>
    </row>
    <row r="85" customFormat="false" ht="15" hidden="false" customHeight="false" outlineLevel="0" collapsed="false">
      <c r="A85" s="11" t="n">
        <f aca="false">72*$B$3</f>
        <v>36000</v>
      </c>
      <c r="B85" s="11" t="n">
        <f aca="false">0</f>
        <v>0</v>
      </c>
      <c r="C85" s="11" t="n">
        <f aca="false">A85-B85</f>
        <v>36000</v>
      </c>
      <c r="D85" s="11" t="n">
        <f aca="false">IF(Calculator!$B$6="Yes",MIN(B85,'Tax Tables'!$B$31*'Tax Tables'!$B$32),0)</f>
        <v>0</v>
      </c>
      <c r="E85" s="11" t="n">
        <f aca="false">D85*Calculator!$B$7</f>
        <v>0</v>
      </c>
      <c r="F85" s="11" t="n">
        <f aca="false">D85*Calculator!$B$8</f>
        <v>0</v>
      </c>
      <c r="G85" s="11" t="n">
        <f aca="false">IF(B85&gt;0,'Tax Tables'!$B$32*MIN(MAX(B85/'Tax Tables'!$B$32*'Tax Tables'!$B$33,'Tax Tables'!$B$34),'Tax Tables'!$B$35),0)</f>
        <v>0</v>
      </c>
      <c r="H85" s="11" t="n">
        <f aca="false">Calculator!$B$5-A85-F85-G85</f>
        <v>364000</v>
      </c>
      <c r="I85" s="11" t="n">
        <f aca="false">'Tax Tables'!$B$22*(MAX(H85,0)-IF(Calculator!$B$10="Yes",MIN(MAX(H85,0),'Tax Tables'!$B$27)*'Tax Tables'!$B$28+MIN(MAX(MAX(H85,0)-'Tax Tables'!$B$27,0),'Tax Tables'!$B$29)*'Tax Tables'!$B$30,MIN(MAX(H85,0),'Tax Tables'!$B$23)*'Tax Tables'!$B$24+MIN(MAX(MAX(H85,0)-'Tax Tables'!$B$23,0),'Tax Tables'!$B$25)*'Tax Tables'!$B$26))*1-MIN('Tax Tables'!$B$22*(MAX(H85,0)-IF(Calculator!$B$10="Yes",MIN(MAX(H85,0),'Tax Tables'!$B$27)*'Tax Tables'!$B$28+MIN(MAX(MAX(H85,0)-'Tax Tables'!$B$27,0),'Tax Tables'!$B$29)*'Tax Tables'!$B$30,MIN(MAX(H85,0),'Tax Tables'!$B$23)*'Tax Tables'!$B$24+MIN(MAX(MAX(H85,0)-'Tax Tables'!$B$23,0),'Tax Tables'!$B$25)*'Tax Tables'!$B$26))*Calculator!$B$11,Calculator!$B$12)</f>
        <v>44455</v>
      </c>
      <c r="J85" s="11" t="n">
        <f aca="false">MAX(H85,0)-I85</f>
        <v>319545</v>
      </c>
      <c r="K85" s="11" t="n">
        <f aca="false">MIN(IF(A85&gt;0,Calculator!$B$13,0)+E85+Calculator!$B$14,'Tax Tables'!$B$36)</f>
        <v>1000</v>
      </c>
      <c r="L85" s="11" t="n">
        <f aca="false">MAX(A85-K85,0)</f>
        <v>35000</v>
      </c>
      <c r="M85" s="11" t="n">
        <f aca="false">SUMPRODUCT((L85&gt;'Tax Tables'!$A$5:$A$17)*(L85-'Tax Tables'!$A$5:$A$17)*'Tax Tables'!$C$5:$C$17)</f>
        <v>375</v>
      </c>
      <c r="N85" s="11" t="n">
        <f aca="false">IF(H85&lt;0,-1E+099,A85-E85-M85+J85+(E85+F85)*Calculator!$B$9)</f>
        <v>355170</v>
      </c>
      <c r="O85" s="2"/>
      <c r="P85" s="11" t="n">
        <f aca="false">72*$B$3</f>
        <v>36000</v>
      </c>
      <c r="Q85" s="11" t="n">
        <f aca="false">MIN(P85,'Tax Tables'!$B$31*'Tax Tables'!$B$32)</f>
        <v>36000</v>
      </c>
      <c r="R85" s="11" t="n">
        <f aca="false">P85-Q85</f>
        <v>0</v>
      </c>
      <c r="S85" s="11" t="n">
        <f aca="false">IF(Calculator!$B$6="Yes",MIN(Q85,'Tax Tables'!$B$31*'Tax Tables'!$B$32),0)</f>
        <v>36000</v>
      </c>
      <c r="T85" s="11" t="n">
        <f aca="false">S85*Calculator!$B$7</f>
        <v>7200</v>
      </c>
      <c r="U85" s="11" t="n">
        <f aca="false">S85*Calculator!$B$8</f>
        <v>6120</v>
      </c>
      <c r="V85" s="11" t="n">
        <f aca="false">IF(Q85&gt;0,'Tax Tables'!$B$32*MIN(MAX(Q85/'Tax Tables'!$B$32*'Tax Tables'!$B$33,'Tax Tables'!$B$34),'Tax Tables'!$B$35),0)</f>
        <v>90</v>
      </c>
      <c r="W85" s="11" t="n">
        <f aca="false">Calculator!$B$5-P85-U85-V85</f>
        <v>357790</v>
      </c>
      <c r="X85" s="11" t="n">
        <f aca="false">'Tax Tables'!$B$22*(MAX(W85,0)-IF(Calculator!$B$10="Yes",MIN(MAX(W85,0),'Tax Tables'!$B$27)*'Tax Tables'!$B$28+MIN(MAX(MAX(W85,0)-'Tax Tables'!$B$27,0),'Tax Tables'!$B$29)*'Tax Tables'!$B$30,MIN(MAX(W85,0),'Tax Tables'!$B$23)*'Tax Tables'!$B$24+MIN(MAX(MAX(W85,0)-'Tax Tables'!$B$23,0),'Tax Tables'!$B$25)*'Tax Tables'!$B$26))*1-MIN('Tax Tables'!$B$22*(MAX(W85,0)-IF(Calculator!$B$10="Yes",MIN(MAX(W85,0),'Tax Tables'!$B$27)*'Tax Tables'!$B$28+MIN(MAX(MAX(W85,0)-'Tax Tables'!$B$27,0),'Tax Tables'!$B$29)*'Tax Tables'!$B$30,MIN(MAX(W85,0),'Tax Tables'!$B$23)*'Tax Tables'!$B$24+MIN(MAX(MAX(W85,0)-'Tax Tables'!$B$23,0),'Tax Tables'!$B$25)*'Tax Tables'!$B$26))*Calculator!$B$11,Calculator!$B$12)</f>
        <v>43399.3</v>
      </c>
      <c r="Y85" s="11" t="n">
        <f aca="false">MAX(W85,0)-X85</f>
        <v>314390.7</v>
      </c>
      <c r="Z85" s="11" t="n">
        <f aca="false">MIN(IF(P85&gt;0,Calculator!$B$13,0)+T85+Calculator!$B$14,'Tax Tables'!$B$36)</f>
        <v>8200</v>
      </c>
      <c r="AA85" s="11" t="n">
        <f aca="false">MAX(P85-Z85,0)</f>
        <v>27800</v>
      </c>
      <c r="AB85" s="11" t="n">
        <f aca="false">SUMPRODUCT((AA85&gt;'Tax Tables'!$A$5:$A$17)*(AA85-'Tax Tables'!$A$5:$A$17)*'Tax Tables'!$C$5:$C$17)</f>
        <v>156</v>
      </c>
      <c r="AC85" s="11" t="n">
        <f aca="false">IF(W85&lt;0,-1E+099,P85-T85-AB85+Y85+(T85+U85)*Calculator!$B$9)</f>
        <v>356354.7</v>
      </c>
    </row>
    <row r="86" customFormat="false" ht="15" hidden="false" customHeight="false" outlineLevel="0" collapsed="false">
      <c r="A86" s="11" t="n">
        <f aca="false">73*$B$3</f>
        <v>36500</v>
      </c>
      <c r="B86" s="11" t="n">
        <f aca="false">0</f>
        <v>0</v>
      </c>
      <c r="C86" s="11" t="n">
        <f aca="false">A86-B86</f>
        <v>36500</v>
      </c>
      <c r="D86" s="11" t="n">
        <f aca="false">IF(Calculator!$B$6="Yes",MIN(B86,'Tax Tables'!$B$31*'Tax Tables'!$B$32),0)</f>
        <v>0</v>
      </c>
      <c r="E86" s="11" t="n">
        <f aca="false">D86*Calculator!$B$7</f>
        <v>0</v>
      </c>
      <c r="F86" s="11" t="n">
        <f aca="false">D86*Calculator!$B$8</f>
        <v>0</v>
      </c>
      <c r="G86" s="11" t="n">
        <f aca="false">IF(B86&gt;0,'Tax Tables'!$B$32*MIN(MAX(B86/'Tax Tables'!$B$32*'Tax Tables'!$B$33,'Tax Tables'!$B$34),'Tax Tables'!$B$35),0)</f>
        <v>0</v>
      </c>
      <c r="H86" s="11" t="n">
        <f aca="false">Calculator!$B$5-A86-F86-G86</f>
        <v>363500</v>
      </c>
      <c r="I86" s="11" t="n">
        <f aca="false">'Tax Tables'!$B$22*(MAX(H86,0)-IF(Calculator!$B$10="Yes",MIN(MAX(H86,0),'Tax Tables'!$B$27)*'Tax Tables'!$B$28+MIN(MAX(MAX(H86,0)-'Tax Tables'!$B$27,0),'Tax Tables'!$B$29)*'Tax Tables'!$B$30,MIN(MAX(H86,0),'Tax Tables'!$B$23)*'Tax Tables'!$B$24+MIN(MAX(MAX(H86,0)-'Tax Tables'!$B$23,0),'Tax Tables'!$B$25)*'Tax Tables'!$B$26))*1-MIN('Tax Tables'!$B$22*(MAX(H86,0)-IF(Calculator!$B$10="Yes",MIN(MAX(H86,0),'Tax Tables'!$B$27)*'Tax Tables'!$B$28+MIN(MAX(MAX(H86,0)-'Tax Tables'!$B$27,0),'Tax Tables'!$B$29)*'Tax Tables'!$B$30,MIN(MAX(H86,0),'Tax Tables'!$B$23)*'Tax Tables'!$B$24+MIN(MAX(MAX(H86,0)-'Tax Tables'!$B$23,0),'Tax Tables'!$B$25)*'Tax Tables'!$B$26))*Calculator!$B$11,Calculator!$B$12)</f>
        <v>44370</v>
      </c>
      <c r="J86" s="11" t="n">
        <f aca="false">MAX(H86,0)-I86</f>
        <v>319130</v>
      </c>
      <c r="K86" s="11" t="n">
        <f aca="false">MIN(IF(A86&gt;0,Calculator!$B$13,0)+E86+Calculator!$B$14,'Tax Tables'!$B$36)</f>
        <v>1000</v>
      </c>
      <c r="L86" s="11" t="n">
        <f aca="false">MAX(A86-K86,0)</f>
        <v>35500</v>
      </c>
      <c r="M86" s="11" t="n">
        <f aca="false">SUMPRODUCT((L86&gt;'Tax Tables'!$A$5:$A$17)*(L86-'Tax Tables'!$A$5:$A$17)*'Tax Tables'!$C$5:$C$17)</f>
        <v>392.5</v>
      </c>
      <c r="N86" s="11" t="n">
        <f aca="false">IF(H86&lt;0,-1E+099,A86-E86-M86+J86+(E86+F86)*Calculator!$B$9)</f>
        <v>355237.5</v>
      </c>
      <c r="O86" s="2"/>
      <c r="P86" s="11" t="n">
        <f aca="false">73*$B$3</f>
        <v>36500</v>
      </c>
      <c r="Q86" s="11" t="n">
        <f aca="false">MIN(P86,'Tax Tables'!$B$31*'Tax Tables'!$B$32)</f>
        <v>36500</v>
      </c>
      <c r="R86" s="11" t="n">
        <f aca="false">P86-Q86</f>
        <v>0</v>
      </c>
      <c r="S86" s="11" t="n">
        <f aca="false">IF(Calculator!$B$6="Yes",MIN(Q86,'Tax Tables'!$B$31*'Tax Tables'!$B$32),0)</f>
        <v>36500</v>
      </c>
      <c r="T86" s="11" t="n">
        <f aca="false">S86*Calculator!$B$7</f>
        <v>7300</v>
      </c>
      <c r="U86" s="11" t="n">
        <f aca="false">S86*Calculator!$B$8</f>
        <v>6205</v>
      </c>
      <c r="V86" s="11" t="n">
        <f aca="false">IF(Q86&gt;0,'Tax Tables'!$B$32*MIN(MAX(Q86/'Tax Tables'!$B$32*'Tax Tables'!$B$33,'Tax Tables'!$B$34),'Tax Tables'!$B$35),0)</f>
        <v>91.25</v>
      </c>
      <c r="W86" s="11" t="n">
        <f aca="false">Calculator!$B$5-P86-U86-V86</f>
        <v>357203.75</v>
      </c>
      <c r="X86" s="11" t="n">
        <f aca="false">'Tax Tables'!$B$22*(MAX(W86,0)-IF(Calculator!$B$10="Yes",MIN(MAX(W86,0),'Tax Tables'!$B$27)*'Tax Tables'!$B$28+MIN(MAX(MAX(W86,0)-'Tax Tables'!$B$27,0),'Tax Tables'!$B$29)*'Tax Tables'!$B$30,MIN(MAX(W86,0),'Tax Tables'!$B$23)*'Tax Tables'!$B$24+MIN(MAX(MAX(W86,0)-'Tax Tables'!$B$23,0),'Tax Tables'!$B$25)*'Tax Tables'!$B$26))*1-MIN('Tax Tables'!$B$22*(MAX(W86,0)-IF(Calculator!$B$10="Yes",MIN(MAX(W86,0),'Tax Tables'!$B$27)*'Tax Tables'!$B$28+MIN(MAX(MAX(W86,0)-'Tax Tables'!$B$27,0),'Tax Tables'!$B$29)*'Tax Tables'!$B$30,MIN(MAX(W86,0),'Tax Tables'!$B$23)*'Tax Tables'!$B$24+MIN(MAX(MAX(W86,0)-'Tax Tables'!$B$23,0),'Tax Tables'!$B$25)*'Tax Tables'!$B$26))*Calculator!$B$11,Calculator!$B$12)</f>
        <v>43299.6375</v>
      </c>
      <c r="Y86" s="11" t="n">
        <f aca="false">MAX(W86,0)-X86</f>
        <v>313904.1125</v>
      </c>
      <c r="Z86" s="11" t="n">
        <f aca="false">MIN(IF(P86&gt;0,Calculator!$B$13,0)+T86+Calculator!$B$14,'Tax Tables'!$B$36)</f>
        <v>8300</v>
      </c>
      <c r="AA86" s="11" t="n">
        <f aca="false">MAX(P86-Z86,0)</f>
        <v>28200</v>
      </c>
      <c r="AB86" s="11" t="n">
        <f aca="false">SUMPRODUCT((AA86&gt;'Tax Tables'!$A$5:$A$17)*(AA86-'Tax Tables'!$A$5:$A$17)*'Tax Tables'!$C$5:$C$17)</f>
        <v>164</v>
      </c>
      <c r="AC86" s="11" t="n">
        <f aca="false">IF(W86&lt;0,-1E+099,P86-T86-AB86+Y86+(T86+U86)*Calculator!$B$9)</f>
        <v>356445.1125</v>
      </c>
    </row>
    <row r="87" customFormat="false" ht="15" hidden="false" customHeight="false" outlineLevel="0" collapsed="false">
      <c r="A87" s="11" t="n">
        <f aca="false">74*$B$3</f>
        <v>37000</v>
      </c>
      <c r="B87" s="11" t="n">
        <f aca="false">0</f>
        <v>0</v>
      </c>
      <c r="C87" s="11" t="n">
        <f aca="false">A87-B87</f>
        <v>37000</v>
      </c>
      <c r="D87" s="11" t="n">
        <f aca="false">IF(Calculator!$B$6="Yes",MIN(B87,'Tax Tables'!$B$31*'Tax Tables'!$B$32),0)</f>
        <v>0</v>
      </c>
      <c r="E87" s="11" t="n">
        <f aca="false">D87*Calculator!$B$7</f>
        <v>0</v>
      </c>
      <c r="F87" s="11" t="n">
        <f aca="false">D87*Calculator!$B$8</f>
        <v>0</v>
      </c>
      <c r="G87" s="11" t="n">
        <f aca="false">IF(B87&gt;0,'Tax Tables'!$B$32*MIN(MAX(B87/'Tax Tables'!$B$32*'Tax Tables'!$B$33,'Tax Tables'!$B$34),'Tax Tables'!$B$35),0)</f>
        <v>0</v>
      </c>
      <c r="H87" s="11" t="n">
        <f aca="false">Calculator!$B$5-A87-F87-G87</f>
        <v>363000</v>
      </c>
      <c r="I87" s="11" t="n">
        <f aca="false">'Tax Tables'!$B$22*(MAX(H87,0)-IF(Calculator!$B$10="Yes",MIN(MAX(H87,0),'Tax Tables'!$B$27)*'Tax Tables'!$B$28+MIN(MAX(MAX(H87,0)-'Tax Tables'!$B$27,0),'Tax Tables'!$B$29)*'Tax Tables'!$B$30,MIN(MAX(H87,0),'Tax Tables'!$B$23)*'Tax Tables'!$B$24+MIN(MAX(MAX(H87,0)-'Tax Tables'!$B$23,0),'Tax Tables'!$B$25)*'Tax Tables'!$B$26))*1-MIN('Tax Tables'!$B$22*(MAX(H87,0)-IF(Calculator!$B$10="Yes",MIN(MAX(H87,0),'Tax Tables'!$B$27)*'Tax Tables'!$B$28+MIN(MAX(MAX(H87,0)-'Tax Tables'!$B$27,0),'Tax Tables'!$B$29)*'Tax Tables'!$B$30,MIN(MAX(H87,0),'Tax Tables'!$B$23)*'Tax Tables'!$B$24+MIN(MAX(MAX(H87,0)-'Tax Tables'!$B$23,0),'Tax Tables'!$B$25)*'Tax Tables'!$B$26))*Calculator!$B$11,Calculator!$B$12)</f>
        <v>44285</v>
      </c>
      <c r="J87" s="11" t="n">
        <f aca="false">MAX(H87,0)-I87</f>
        <v>318715</v>
      </c>
      <c r="K87" s="11" t="n">
        <f aca="false">MIN(IF(A87&gt;0,Calculator!$B$13,0)+E87+Calculator!$B$14,'Tax Tables'!$B$36)</f>
        <v>1000</v>
      </c>
      <c r="L87" s="11" t="n">
        <f aca="false">MAX(A87-K87,0)</f>
        <v>36000</v>
      </c>
      <c r="M87" s="11" t="n">
        <f aca="false">SUMPRODUCT((L87&gt;'Tax Tables'!$A$5:$A$17)*(L87-'Tax Tables'!$A$5:$A$17)*'Tax Tables'!$C$5:$C$17)</f>
        <v>410</v>
      </c>
      <c r="N87" s="11" t="n">
        <f aca="false">IF(H87&lt;0,-1E+099,A87-E87-M87+J87+(E87+F87)*Calculator!$B$9)</f>
        <v>355305</v>
      </c>
      <c r="O87" s="2"/>
      <c r="P87" s="11" t="n">
        <f aca="false">74*$B$3</f>
        <v>37000</v>
      </c>
      <c r="Q87" s="11" t="n">
        <f aca="false">MIN(P87,'Tax Tables'!$B$31*'Tax Tables'!$B$32)</f>
        <v>37000</v>
      </c>
      <c r="R87" s="11" t="n">
        <f aca="false">P87-Q87</f>
        <v>0</v>
      </c>
      <c r="S87" s="11" t="n">
        <f aca="false">IF(Calculator!$B$6="Yes",MIN(Q87,'Tax Tables'!$B$31*'Tax Tables'!$B$32),0)</f>
        <v>37000</v>
      </c>
      <c r="T87" s="11" t="n">
        <f aca="false">S87*Calculator!$B$7</f>
        <v>7400</v>
      </c>
      <c r="U87" s="11" t="n">
        <f aca="false">S87*Calculator!$B$8</f>
        <v>6290</v>
      </c>
      <c r="V87" s="11" t="n">
        <f aca="false">IF(Q87&gt;0,'Tax Tables'!$B$32*MIN(MAX(Q87/'Tax Tables'!$B$32*'Tax Tables'!$B$33,'Tax Tables'!$B$34),'Tax Tables'!$B$35),0)</f>
        <v>92.5</v>
      </c>
      <c r="W87" s="11" t="n">
        <f aca="false">Calculator!$B$5-P87-U87-V87</f>
        <v>356617.5</v>
      </c>
      <c r="X87" s="11" t="n">
        <f aca="false">'Tax Tables'!$B$22*(MAX(W87,0)-IF(Calculator!$B$10="Yes",MIN(MAX(W87,0),'Tax Tables'!$B$27)*'Tax Tables'!$B$28+MIN(MAX(MAX(W87,0)-'Tax Tables'!$B$27,0),'Tax Tables'!$B$29)*'Tax Tables'!$B$30,MIN(MAX(W87,0),'Tax Tables'!$B$23)*'Tax Tables'!$B$24+MIN(MAX(MAX(W87,0)-'Tax Tables'!$B$23,0),'Tax Tables'!$B$25)*'Tax Tables'!$B$26))*1-MIN('Tax Tables'!$B$22*(MAX(W87,0)-IF(Calculator!$B$10="Yes",MIN(MAX(W87,0),'Tax Tables'!$B$27)*'Tax Tables'!$B$28+MIN(MAX(MAX(W87,0)-'Tax Tables'!$B$27,0),'Tax Tables'!$B$29)*'Tax Tables'!$B$30,MIN(MAX(W87,0),'Tax Tables'!$B$23)*'Tax Tables'!$B$24+MIN(MAX(MAX(W87,0)-'Tax Tables'!$B$23,0),'Tax Tables'!$B$25)*'Tax Tables'!$B$26))*Calculator!$B$11,Calculator!$B$12)</f>
        <v>43199.975</v>
      </c>
      <c r="Y87" s="11" t="n">
        <f aca="false">MAX(W87,0)-X87</f>
        <v>313417.525</v>
      </c>
      <c r="Z87" s="11" t="n">
        <f aca="false">MIN(IF(P87&gt;0,Calculator!$B$13,0)+T87+Calculator!$B$14,'Tax Tables'!$B$36)</f>
        <v>8400</v>
      </c>
      <c r="AA87" s="11" t="n">
        <f aca="false">MAX(P87-Z87,0)</f>
        <v>28600</v>
      </c>
      <c r="AB87" s="11" t="n">
        <f aca="false">SUMPRODUCT((AA87&gt;'Tax Tables'!$A$5:$A$17)*(AA87-'Tax Tables'!$A$5:$A$17)*'Tax Tables'!$C$5:$C$17)</f>
        <v>172</v>
      </c>
      <c r="AC87" s="11" t="n">
        <f aca="false">IF(W87&lt;0,-1E+099,P87-T87-AB87+Y87+(T87+U87)*Calculator!$B$9)</f>
        <v>356535.525</v>
      </c>
    </row>
    <row r="88" customFormat="false" ht="15" hidden="false" customHeight="false" outlineLevel="0" collapsed="false">
      <c r="A88" s="11" t="n">
        <f aca="false">75*$B$3</f>
        <v>37500</v>
      </c>
      <c r="B88" s="11" t="n">
        <f aca="false">0</f>
        <v>0</v>
      </c>
      <c r="C88" s="11" t="n">
        <f aca="false">A88-B88</f>
        <v>37500</v>
      </c>
      <c r="D88" s="11" t="n">
        <f aca="false">IF(Calculator!$B$6="Yes",MIN(B88,'Tax Tables'!$B$31*'Tax Tables'!$B$32),0)</f>
        <v>0</v>
      </c>
      <c r="E88" s="11" t="n">
        <f aca="false">D88*Calculator!$B$7</f>
        <v>0</v>
      </c>
      <c r="F88" s="11" t="n">
        <f aca="false">D88*Calculator!$B$8</f>
        <v>0</v>
      </c>
      <c r="G88" s="11" t="n">
        <f aca="false">IF(B88&gt;0,'Tax Tables'!$B$32*MIN(MAX(B88/'Tax Tables'!$B$32*'Tax Tables'!$B$33,'Tax Tables'!$B$34),'Tax Tables'!$B$35),0)</f>
        <v>0</v>
      </c>
      <c r="H88" s="11" t="n">
        <f aca="false">Calculator!$B$5-A88-F88-G88</f>
        <v>362500</v>
      </c>
      <c r="I88" s="11" t="n">
        <f aca="false">'Tax Tables'!$B$22*(MAX(H88,0)-IF(Calculator!$B$10="Yes",MIN(MAX(H88,0),'Tax Tables'!$B$27)*'Tax Tables'!$B$28+MIN(MAX(MAX(H88,0)-'Tax Tables'!$B$27,0),'Tax Tables'!$B$29)*'Tax Tables'!$B$30,MIN(MAX(H88,0),'Tax Tables'!$B$23)*'Tax Tables'!$B$24+MIN(MAX(MAX(H88,0)-'Tax Tables'!$B$23,0),'Tax Tables'!$B$25)*'Tax Tables'!$B$26))*1-MIN('Tax Tables'!$B$22*(MAX(H88,0)-IF(Calculator!$B$10="Yes",MIN(MAX(H88,0),'Tax Tables'!$B$27)*'Tax Tables'!$B$28+MIN(MAX(MAX(H88,0)-'Tax Tables'!$B$27,0),'Tax Tables'!$B$29)*'Tax Tables'!$B$30,MIN(MAX(H88,0),'Tax Tables'!$B$23)*'Tax Tables'!$B$24+MIN(MAX(MAX(H88,0)-'Tax Tables'!$B$23,0),'Tax Tables'!$B$25)*'Tax Tables'!$B$26))*Calculator!$B$11,Calculator!$B$12)</f>
        <v>44200</v>
      </c>
      <c r="J88" s="11" t="n">
        <f aca="false">MAX(H88,0)-I88</f>
        <v>318300</v>
      </c>
      <c r="K88" s="11" t="n">
        <f aca="false">MIN(IF(A88&gt;0,Calculator!$B$13,0)+E88+Calculator!$B$14,'Tax Tables'!$B$36)</f>
        <v>1000</v>
      </c>
      <c r="L88" s="11" t="n">
        <f aca="false">MAX(A88-K88,0)</f>
        <v>36500</v>
      </c>
      <c r="M88" s="11" t="n">
        <f aca="false">SUMPRODUCT((L88&gt;'Tax Tables'!$A$5:$A$17)*(L88-'Tax Tables'!$A$5:$A$17)*'Tax Tables'!$C$5:$C$17)</f>
        <v>427.5</v>
      </c>
      <c r="N88" s="11" t="n">
        <f aca="false">IF(H88&lt;0,-1E+099,A88-E88-M88+J88+(E88+F88)*Calculator!$B$9)</f>
        <v>355372.5</v>
      </c>
      <c r="O88" s="2"/>
      <c r="P88" s="11" t="n">
        <f aca="false">75*$B$3</f>
        <v>37500</v>
      </c>
      <c r="Q88" s="11" t="n">
        <f aca="false">MIN(P88,'Tax Tables'!$B$31*'Tax Tables'!$B$32)</f>
        <v>37500</v>
      </c>
      <c r="R88" s="11" t="n">
        <f aca="false">P88-Q88</f>
        <v>0</v>
      </c>
      <c r="S88" s="11" t="n">
        <f aca="false">IF(Calculator!$B$6="Yes",MIN(Q88,'Tax Tables'!$B$31*'Tax Tables'!$B$32),0)</f>
        <v>37500</v>
      </c>
      <c r="T88" s="11" t="n">
        <f aca="false">S88*Calculator!$B$7</f>
        <v>7500</v>
      </c>
      <c r="U88" s="11" t="n">
        <f aca="false">S88*Calculator!$B$8</f>
        <v>6375</v>
      </c>
      <c r="V88" s="11" t="n">
        <f aca="false">IF(Q88&gt;0,'Tax Tables'!$B$32*MIN(MAX(Q88/'Tax Tables'!$B$32*'Tax Tables'!$B$33,'Tax Tables'!$B$34),'Tax Tables'!$B$35),0)</f>
        <v>93.75</v>
      </c>
      <c r="W88" s="11" t="n">
        <f aca="false">Calculator!$B$5-P88-U88-V88</f>
        <v>356031.25</v>
      </c>
      <c r="X88" s="11" t="n">
        <f aca="false">'Tax Tables'!$B$22*(MAX(W88,0)-IF(Calculator!$B$10="Yes",MIN(MAX(W88,0),'Tax Tables'!$B$27)*'Tax Tables'!$B$28+MIN(MAX(MAX(W88,0)-'Tax Tables'!$B$27,0),'Tax Tables'!$B$29)*'Tax Tables'!$B$30,MIN(MAX(W88,0),'Tax Tables'!$B$23)*'Tax Tables'!$B$24+MIN(MAX(MAX(W88,0)-'Tax Tables'!$B$23,0),'Tax Tables'!$B$25)*'Tax Tables'!$B$26))*1-MIN('Tax Tables'!$B$22*(MAX(W88,0)-IF(Calculator!$B$10="Yes",MIN(MAX(W88,0),'Tax Tables'!$B$27)*'Tax Tables'!$B$28+MIN(MAX(MAX(W88,0)-'Tax Tables'!$B$27,0),'Tax Tables'!$B$29)*'Tax Tables'!$B$30,MIN(MAX(W88,0),'Tax Tables'!$B$23)*'Tax Tables'!$B$24+MIN(MAX(MAX(W88,0)-'Tax Tables'!$B$23,0),'Tax Tables'!$B$25)*'Tax Tables'!$B$26))*Calculator!$B$11,Calculator!$B$12)</f>
        <v>43100.3125</v>
      </c>
      <c r="Y88" s="11" t="n">
        <f aca="false">MAX(W88,0)-X88</f>
        <v>312930.9375</v>
      </c>
      <c r="Z88" s="11" t="n">
        <f aca="false">MIN(IF(P88&gt;0,Calculator!$B$13,0)+T88+Calculator!$B$14,'Tax Tables'!$B$36)</f>
        <v>8500</v>
      </c>
      <c r="AA88" s="11" t="n">
        <f aca="false">MAX(P88-Z88,0)</f>
        <v>29000</v>
      </c>
      <c r="AB88" s="11" t="n">
        <f aca="false">SUMPRODUCT((AA88&gt;'Tax Tables'!$A$5:$A$17)*(AA88-'Tax Tables'!$A$5:$A$17)*'Tax Tables'!$C$5:$C$17)</f>
        <v>180</v>
      </c>
      <c r="AC88" s="11" t="n">
        <f aca="false">IF(W88&lt;0,-1E+099,P88-T88-AB88+Y88+(T88+U88)*Calculator!$B$9)</f>
        <v>356625.9375</v>
      </c>
    </row>
    <row r="89" customFormat="false" ht="15" hidden="false" customHeight="false" outlineLevel="0" collapsed="false">
      <c r="A89" s="11" t="n">
        <f aca="false">76*$B$3</f>
        <v>38000</v>
      </c>
      <c r="B89" s="11" t="n">
        <f aca="false">0</f>
        <v>0</v>
      </c>
      <c r="C89" s="11" t="n">
        <f aca="false">A89-B89</f>
        <v>38000</v>
      </c>
      <c r="D89" s="11" t="n">
        <f aca="false">IF(Calculator!$B$6="Yes",MIN(B89,'Tax Tables'!$B$31*'Tax Tables'!$B$32),0)</f>
        <v>0</v>
      </c>
      <c r="E89" s="11" t="n">
        <f aca="false">D89*Calculator!$B$7</f>
        <v>0</v>
      </c>
      <c r="F89" s="11" t="n">
        <f aca="false">D89*Calculator!$B$8</f>
        <v>0</v>
      </c>
      <c r="G89" s="11" t="n">
        <f aca="false">IF(B89&gt;0,'Tax Tables'!$B$32*MIN(MAX(B89/'Tax Tables'!$B$32*'Tax Tables'!$B$33,'Tax Tables'!$B$34),'Tax Tables'!$B$35),0)</f>
        <v>0</v>
      </c>
      <c r="H89" s="11" t="n">
        <f aca="false">Calculator!$B$5-A89-F89-G89</f>
        <v>362000</v>
      </c>
      <c r="I89" s="11" t="n">
        <f aca="false">'Tax Tables'!$B$22*(MAX(H89,0)-IF(Calculator!$B$10="Yes",MIN(MAX(H89,0),'Tax Tables'!$B$27)*'Tax Tables'!$B$28+MIN(MAX(MAX(H89,0)-'Tax Tables'!$B$27,0),'Tax Tables'!$B$29)*'Tax Tables'!$B$30,MIN(MAX(H89,0),'Tax Tables'!$B$23)*'Tax Tables'!$B$24+MIN(MAX(MAX(H89,0)-'Tax Tables'!$B$23,0),'Tax Tables'!$B$25)*'Tax Tables'!$B$26))*1-MIN('Tax Tables'!$B$22*(MAX(H89,0)-IF(Calculator!$B$10="Yes",MIN(MAX(H89,0),'Tax Tables'!$B$27)*'Tax Tables'!$B$28+MIN(MAX(MAX(H89,0)-'Tax Tables'!$B$27,0),'Tax Tables'!$B$29)*'Tax Tables'!$B$30,MIN(MAX(H89,0),'Tax Tables'!$B$23)*'Tax Tables'!$B$24+MIN(MAX(MAX(H89,0)-'Tax Tables'!$B$23,0),'Tax Tables'!$B$25)*'Tax Tables'!$B$26))*Calculator!$B$11,Calculator!$B$12)</f>
        <v>44115</v>
      </c>
      <c r="J89" s="11" t="n">
        <f aca="false">MAX(H89,0)-I89</f>
        <v>317885</v>
      </c>
      <c r="K89" s="11" t="n">
        <f aca="false">MIN(IF(A89&gt;0,Calculator!$B$13,0)+E89+Calculator!$B$14,'Tax Tables'!$B$36)</f>
        <v>1000</v>
      </c>
      <c r="L89" s="11" t="n">
        <f aca="false">MAX(A89-K89,0)</f>
        <v>37000</v>
      </c>
      <c r="M89" s="11" t="n">
        <f aca="false">SUMPRODUCT((L89&gt;'Tax Tables'!$A$5:$A$17)*(L89-'Tax Tables'!$A$5:$A$17)*'Tax Tables'!$C$5:$C$17)</f>
        <v>445</v>
      </c>
      <c r="N89" s="11" t="n">
        <f aca="false">IF(H89&lt;0,-1E+099,A89-E89-M89+J89+(E89+F89)*Calculator!$B$9)</f>
        <v>355440</v>
      </c>
      <c r="O89" s="2"/>
      <c r="P89" s="11" t="n">
        <f aca="false">76*$B$3</f>
        <v>38000</v>
      </c>
      <c r="Q89" s="11" t="n">
        <f aca="false">MIN(P89,'Tax Tables'!$B$31*'Tax Tables'!$B$32)</f>
        <v>38000</v>
      </c>
      <c r="R89" s="11" t="n">
        <f aca="false">P89-Q89</f>
        <v>0</v>
      </c>
      <c r="S89" s="11" t="n">
        <f aca="false">IF(Calculator!$B$6="Yes",MIN(Q89,'Tax Tables'!$B$31*'Tax Tables'!$B$32),0)</f>
        <v>38000</v>
      </c>
      <c r="T89" s="11" t="n">
        <f aca="false">S89*Calculator!$B$7</f>
        <v>7600</v>
      </c>
      <c r="U89" s="11" t="n">
        <f aca="false">S89*Calculator!$B$8</f>
        <v>6460</v>
      </c>
      <c r="V89" s="11" t="n">
        <f aca="false">IF(Q89&gt;0,'Tax Tables'!$B$32*MIN(MAX(Q89/'Tax Tables'!$B$32*'Tax Tables'!$B$33,'Tax Tables'!$B$34),'Tax Tables'!$B$35),0)</f>
        <v>95</v>
      </c>
      <c r="W89" s="11" t="n">
        <f aca="false">Calculator!$B$5-P89-U89-V89</f>
        <v>355445</v>
      </c>
      <c r="X89" s="11" t="n">
        <f aca="false">'Tax Tables'!$B$22*(MAX(W89,0)-IF(Calculator!$B$10="Yes",MIN(MAX(W89,0),'Tax Tables'!$B$27)*'Tax Tables'!$B$28+MIN(MAX(MAX(W89,0)-'Tax Tables'!$B$27,0),'Tax Tables'!$B$29)*'Tax Tables'!$B$30,MIN(MAX(W89,0),'Tax Tables'!$B$23)*'Tax Tables'!$B$24+MIN(MAX(MAX(W89,0)-'Tax Tables'!$B$23,0),'Tax Tables'!$B$25)*'Tax Tables'!$B$26))*1-MIN('Tax Tables'!$B$22*(MAX(W89,0)-IF(Calculator!$B$10="Yes",MIN(MAX(W89,0),'Tax Tables'!$B$27)*'Tax Tables'!$B$28+MIN(MAX(MAX(W89,0)-'Tax Tables'!$B$27,0),'Tax Tables'!$B$29)*'Tax Tables'!$B$30,MIN(MAX(W89,0),'Tax Tables'!$B$23)*'Tax Tables'!$B$24+MIN(MAX(MAX(W89,0)-'Tax Tables'!$B$23,0),'Tax Tables'!$B$25)*'Tax Tables'!$B$26))*Calculator!$B$11,Calculator!$B$12)</f>
        <v>43000.65</v>
      </c>
      <c r="Y89" s="11" t="n">
        <f aca="false">MAX(W89,0)-X89</f>
        <v>312444.35</v>
      </c>
      <c r="Z89" s="11" t="n">
        <f aca="false">MIN(IF(P89&gt;0,Calculator!$B$13,0)+T89+Calculator!$B$14,'Tax Tables'!$B$36)</f>
        <v>8600</v>
      </c>
      <c r="AA89" s="11" t="n">
        <f aca="false">MAX(P89-Z89,0)</f>
        <v>29400</v>
      </c>
      <c r="AB89" s="11" t="n">
        <f aca="false">SUMPRODUCT((AA89&gt;'Tax Tables'!$A$5:$A$17)*(AA89-'Tax Tables'!$A$5:$A$17)*'Tax Tables'!$C$5:$C$17)</f>
        <v>188</v>
      </c>
      <c r="AC89" s="11" t="n">
        <f aca="false">IF(W89&lt;0,-1E+099,P89-T89-AB89+Y89+(T89+U89)*Calculator!$B$9)</f>
        <v>356716.35</v>
      </c>
    </row>
    <row r="90" customFormat="false" ht="15" hidden="false" customHeight="false" outlineLevel="0" collapsed="false">
      <c r="A90" s="11" t="n">
        <f aca="false">77*$B$3</f>
        <v>38500</v>
      </c>
      <c r="B90" s="11" t="n">
        <f aca="false">0</f>
        <v>0</v>
      </c>
      <c r="C90" s="11" t="n">
        <f aca="false">A90-B90</f>
        <v>38500</v>
      </c>
      <c r="D90" s="11" t="n">
        <f aca="false">IF(Calculator!$B$6="Yes",MIN(B90,'Tax Tables'!$B$31*'Tax Tables'!$B$32),0)</f>
        <v>0</v>
      </c>
      <c r="E90" s="11" t="n">
        <f aca="false">D90*Calculator!$B$7</f>
        <v>0</v>
      </c>
      <c r="F90" s="11" t="n">
        <f aca="false">D90*Calculator!$B$8</f>
        <v>0</v>
      </c>
      <c r="G90" s="11" t="n">
        <f aca="false">IF(B90&gt;0,'Tax Tables'!$B$32*MIN(MAX(B90/'Tax Tables'!$B$32*'Tax Tables'!$B$33,'Tax Tables'!$B$34),'Tax Tables'!$B$35),0)</f>
        <v>0</v>
      </c>
      <c r="H90" s="11" t="n">
        <f aca="false">Calculator!$B$5-A90-F90-G90</f>
        <v>361500</v>
      </c>
      <c r="I90" s="11" t="n">
        <f aca="false">'Tax Tables'!$B$22*(MAX(H90,0)-IF(Calculator!$B$10="Yes",MIN(MAX(H90,0),'Tax Tables'!$B$27)*'Tax Tables'!$B$28+MIN(MAX(MAX(H90,0)-'Tax Tables'!$B$27,0),'Tax Tables'!$B$29)*'Tax Tables'!$B$30,MIN(MAX(H90,0),'Tax Tables'!$B$23)*'Tax Tables'!$B$24+MIN(MAX(MAX(H90,0)-'Tax Tables'!$B$23,0),'Tax Tables'!$B$25)*'Tax Tables'!$B$26))*1-MIN('Tax Tables'!$B$22*(MAX(H90,0)-IF(Calculator!$B$10="Yes",MIN(MAX(H90,0),'Tax Tables'!$B$27)*'Tax Tables'!$B$28+MIN(MAX(MAX(H90,0)-'Tax Tables'!$B$27,0),'Tax Tables'!$B$29)*'Tax Tables'!$B$30,MIN(MAX(H90,0),'Tax Tables'!$B$23)*'Tax Tables'!$B$24+MIN(MAX(MAX(H90,0)-'Tax Tables'!$B$23,0),'Tax Tables'!$B$25)*'Tax Tables'!$B$26))*Calculator!$B$11,Calculator!$B$12)</f>
        <v>44030</v>
      </c>
      <c r="J90" s="11" t="n">
        <f aca="false">MAX(H90,0)-I90</f>
        <v>317470</v>
      </c>
      <c r="K90" s="11" t="n">
        <f aca="false">MIN(IF(A90&gt;0,Calculator!$B$13,0)+E90+Calculator!$B$14,'Tax Tables'!$B$36)</f>
        <v>1000</v>
      </c>
      <c r="L90" s="11" t="n">
        <f aca="false">MAX(A90-K90,0)</f>
        <v>37500</v>
      </c>
      <c r="M90" s="11" t="n">
        <f aca="false">SUMPRODUCT((L90&gt;'Tax Tables'!$A$5:$A$17)*(L90-'Tax Tables'!$A$5:$A$17)*'Tax Tables'!$C$5:$C$17)</f>
        <v>462.5</v>
      </c>
      <c r="N90" s="11" t="n">
        <f aca="false">IF(H90&lt;0,-1E+099,A90-E90-M90+J90+(E90+F90)*Calculator!$B$9)</f>
        <v>355507.5</v>
      </c>
      <c r="O90" s="2"/>
      <c r="P90" s="11" t="n">
        <f aca="false">77*$B$3</f>
        <v>38500</v>
      </c>
      <c r="Q90" s="11" t="n">
        <f aca="false">MIN(P90,'Tax Tables'!$B$31*'Tax Tables'!$B$32)</f>
        <v>38500</v>
      </c>
      <c r="R90" s="11" t="n">
        <f aca="false">P90-Q90</f>
        <v>0</v>
      </c>
      <c r="S90" s="11" t="n">
        <f aca="false">IF(Calculator!$B$6="Yes",MIN(Q90,'Tax Tables'!$B$31*'Tax Tables'!$B$32),0)</f>
        <v>38500</v>
      </c>
      <c r="T90" s="11" t="n">
        <f aca="false">S90*Calculator!$B$7</f>
        <v>7700</v>
      </c>
      <c r="U90" s="11" t="n">
        <f aca="false">S90*Calculator!$B$8</f>
        <v>6545</v>
      </c>
      <c r="V90" s="11" t="n">
        <f aca="false">IF(Q90&gt;0,'Tax Tables'!$B$32*MIN(MAX(Q90/'Tax Tables'!$B$32*'Tax Tables'!$B$33,'Tax Tables'!$B$34),'Tax Tables'!$B$35),0)</f>
        <v>96.25</v>
      </c>
      <c r="W90" s="11" t="n">
        <f aca="false">Calculator!$B$5-P90-U90-V90</f>
        <v>354858.75</v>
      </c>
      <c r="X90" s="11" t="n">
        <f aca="false">'Tax Tables'!$B$22*(MAX(W90,0)-IF(Calculator!$B$10="Yes",MIN(MAX(W90,0),'Tax Tables'!$B$27)*'Tax Tables'!$B$28+MIN(MAX(MAX(W90,0)-'Tax Tables'!$B$27,0),'Tax Tables'!$B$29)*'Tax Tables'!$B$30,MIN(MAX(W90,0),'Tax Tables'!$B$23)*'Tax Tables'!$B$24+MIN(MAX(MAX(W90,0)-'Tax Tables'!$B$23,0),'Tax Tables'!$B$25)*'Tax Tables'!$B$26))*1-MIN('Tax Tables'!$B$22*(MAX(W90,0)-IF(Calculator!$B$10="Yes",MIN(MAX(W90,0),'Tax Tables'!$B$27)*'Tax Tables'!$B$28+MIN(MAX(MAX(W90,0)-'Tax Tables'!$B$27,0),'Tax Tables'!$B$29)*'Tax Tables'!$B$30,MIN(MAX(W90,0),'Tax Tables'!$B$23)*'Tax Tables'!$B$24+MIN(MAX(MAX(W90,0)-'Tax Tables'!$B$23,0),'Tax Tables'!$B$25)*'Tax Tables'!$B$26))*Calculator!$B$11,Calculator!$B$12)</f>
        <v>42900.9875</v>
      </c>
      <c r="Y90" s="11" t="n">
        <f aca="false">MAX(W90,0)-X90</f>
        <v>311957.7625</v>
      </c>
      <c r="Z90" s="11" t="n">
        <f aca="false">MIN(IF(P90&gt;0,Calculator!$B$13,0)+T90+Calculator!$B$14,'Tax Tables'!$B$36)</f>
        <v>8700</v>
      </c>
      <c r="AA90" s="11" t="n">
        <f aca="false">MAX(P90-Z90,0)</f>
        <v>29800</v>
      </c>
      <c r="AB90" s="11" t="n">
        <f aca="false">SUMPRODUCT((AA90&gt;'Tax Tables'!$A$5:$A$17)*(AA90-'Tax Tables'!$A$5:$A$17)*'Tax Tables'!$C$5:$C$17)</f>
        <v>196</v>
      </c>
      <c r="AC90" s="11" t="n">
        <f aca="false">IF(W90&lt;0,-1E+099,P90-T90-AB90+Y90+(T90+U90)*Calculator!$B$9)</f>
        <v>356806.7625</v>
      </c>
    </row>
    <row r="91" customFormat="false" ht="15" hidden="false" customHeight="false" outlineLevel="0" collapsed="false">
      <c r="A91" s="11" t="n">
        <f aca="false">78*$B$3</f>
        <v>39000</v>
      </c>
      <c r="B91" s="11" t="n">
        <f aca="false">0</f>
        <v>0</v>
      </c>
      <c r="C91" s="11" t="n">
        <f aca="false">A91-B91</f>
        <v>39000</v>
      </c>
      <c r="D91" s="11" t="n">
        <f aca="false">IF(Calculator!$B$6="Yes",MIN(B91,'Tax Tables'!$B$31*'Tax Tables'!$B$32),0)</f>
        <v>0</v>
      </c>
      <c r="E91" s="11" t="n">
        <f aca="false">D91*Calculator!$B$7</f>
        <v>0</v>
      </c>
      <c r="F91" s="11" t="n">
        <f aca="false">D91*Calculator!$B$8</f>
        <v>0</v>
      </c>
      <c r="G91" s="11" t="n">
        <f aca="false">IF(B91&gt;0,'Tax Tables'!$B$32*MIN(MAX(B91/'Tax Tables'!$B$32*'Tax Tables'!$B$33,'Tax Tables'!$B$34),'Tax Tables'!$B$35),0)</f>
        <v>0</v>
      </c>
      <c r="H91" s="11" t="n">
        <f aca="false">Calculator!$B$5-A91-F91-G91</f>
        <v>361000</v>
      </c>
      <c r="I91" s="11" t="n">
        <f aca="false">'Tax Tables'!$B$22*(MAX(H91,0)-IF(Calculator!$B$10="Yes",MIN(MAX(H91,0),'Tax Tables'!$B$27)*'Tax Tables'!$B$28+MIN(MAX(MAX(H91,0)-'Tax Tables'!$B$27,0),'Tax Tables'!$B$29)*'Tax Tables'!$B$30,MIN(MAX(H91,0),'Tax Tables'!$B$23)*'Tax Tables'!$B$24+MIN(MAX(MAX(H91,0)-'Tax Tables'!$B$23,0),'Tax Tables'!$B$25)*'Tax Tables'!$B$26))*1-MIN('Tax Tables'!$B$22*(MAX(H91,0)-IF(Calculator!$B$10="Yes",MIN(MAX(H91,0),'Tax Tables'!$B$27)*'Tax Tables'!$B$28+MIN(MAX(MAX(H91,0)-'Tax Tables'!$B$27,0),'Tax Tables'!$B$29)*'Tax Tables'!$B$30,MIN(MAX(H91,0),'Tax Tables'!$B$23)*'Tax Tables'!$B$24+MIN(MAX(MAX(H91,0)-'Tax Tables'!$B$23,0),'Tax Tables'!$B$25)*'Tax Tables'!$B$26))*Calculator!$B$11,Calculator!$B$12)</f>
        <v>43945</v>
      </c>
      <c r="J91" s="11" t="n">
        <f aca="false">MAX(H91,0)-I91</f>
        <v>317055</v>
      </c>
      <c r="K91" s="11" t="n">
        <f aca="false">MIN(IF(A91&gt;0,Calculator!$B$13,0)+E91+Calculator!$B$14,'Tax Tables'!$B$36)</f>
        <v>1000</v>
      </c>
      <c r="L91" s="11" t="n">
        <f aca="false">MAX(A91-K91,0)</f>
        <v>38000</v>
      </c>
      <c r="M91" s="11" t="n">
        <f aca="false">SUMPRODUCT((L91&gt;'Tax Tables'!$A$5:$A$17)*(L91-'Tax Tables'!$A$5:$A$17)*'Tax Tables'!$C$5:$C$17)</f>
        <v>480</v>
      </c>
      <c r="N91" s="11" t="n">
        <f aca="false">IF(H91&lt;0,-1E+099,A91-E91-M91+J91+(E91+F91)*Calculator!$B$9)</f>
        <v>355575</v>
      </c>
      <c r="O91" s="2"/>
      <c r="P91" s="11" t="n">
        <f aca="false">78*$B$3</f>
        <v>39000</v>
      </c>
      <c r="Q91" s="11" t="n">
        <f aca="false">MIN(P91,'Tax Tables'!$B$31*'Tax Tables'!$B$32)</f>
        <v>39000</v>
      </c>
      <c r="R91" s="11" t="n">
        <f aca="false">P91-Q91</f>
        <v>0</v>
      </c>
      <c r="S91" s="11" t="n">
        <f aca="false">IF(Calculator!$B$6="Yes",MIN(Q91,'Tax Tables'!$B$31*'Tax Tables'!$B$32),0)</f>
        <v>39000</v>
      </c>
      <c r="T91" s="11" t="n">
        <f aca="false">S91*Calculator!$B$7</f>
        <v>7800</v>
      </c>
      <c r="U91" s="11" t="n">
        <f aca="false">S91*Calculator!$B$8</f>
        <v>6630</v>
      </c>
      <c r="V91" s="11" t="n">
        <f aca="false">IF(Q91&gt;0,'Tax Tables'!$B$32*MIN(MAX(Q91/'Tax Tables'!$B$32*'Tax Tables'!$B$33,'Tax Tables'!$B$34),'Tax Tables'!$B$35),0)</f>
        <v>97.5</v>
      </c>
      <c r="W91" s="11" t="n">
        <f aca="false">Calculator!$B$5-P91-U91-V91</f>
        <v>354272.5</v>
      </c>
      <c r="X91" s="11" t="n">
        <f aca="false">'Tax Tables'!$B$22*(MAX(W91,0)-IF(Calculator!$B$10="Yes",MIN(MAX(W91,0),'Tax Tables'!$B$27)*'Tax Tables'!$B$28+MIN(MAX(MAX(W91,0)-'Tax Tables'!$B$27,0),'Tax Tables'!$B$29)*'Tax Tables'!$B$30,MIN(MAX(W91,0),'Tax Tables'!$B$23)*'Tax Tables'!$B$24+MIN(MAX(MAX(W91,0)-'Tax Tables'!$B$23,0),'Tax Tables'!$B$25)*'Tax Tables'!$B$26))*1-MIN('Tax Tables'!$B$22*(MAX(W91,0)-IF(Calculator!$B$10="Yes",MIN(MAX(W91,0),'Tax Tables'!$B$27)*'Tax Tables'!$B$28+MIN(MAX(MAX(W91,0)-'Tax Tables'!$B$27,0),'Tax Tables'!$B$29)*'Tax Tables'!$B$30,MIN(MAX(W91,0),'Tax Tables'!$B$23)*'Tax Tables'!$B$24+MIN(MAX(MAX(W91,0)-'Tax Tables'!$B$23,0),'Tax Tables'!$B$25)*'Tax Tables'!$B$26))*Calculator!$B$11,Calculator!$B$12)</f>
        <v>42801.325</v>
      </c>
      <c r="Y91" s="11" t="n">
        <f aca="false">MAX(W91,0)-X91</f>
        <v>311471.175</v>
      </c>
      <c r="Z91" s="11" t="n">
        <f aca="false">MIN(IF(P91&gt;0,Calculator!$B$13,0)+T91+Calculator!$B$14,'Tax Tables'!$B$36)</f>
        <v>8800</v>
      </c>
      <c r="AA91" s="11" t="n">
        <f aca="false">MAX(P91-Z91,0)</f>
        <v>30200</v>
      </c>
      <c r="AB91" s="11" t="n">
        <f aca="false">SUMPRODUCT((AA91&gt;'Tax Tables'!$A$5:$A$17)*(AA91-'Tax Tables'!$A$5:$A$17)*'Tax Tables'!$C$5:$C$17)</f>
        <v>207</v>
      </c>
      <c r="AC91" s="11" t="n">
        <f aca="false">IF(W91&lt;0,-1E+099,P91-T91-AB91+Y91+(T91+U91)*Calculator!$B$9)</f>
        <v>356894.175</v>
      </c>
    </row>
    <row r="92" customFormat="false" ht="15" hidden="false" customHeight="false" outlineLevel="0" collapsed="false">
      <c r="A92" s="11" t="n">
        <f aca="false">79*$B$3</f>
        <v>39500</v>
      </c>
      <c r="B92" s="11" t="n">
        <f aca="false">0</f>
        <v>0</v>
      </c>
      <c r="C92" s="11" t="n">
        <f aca="false">A92-B92</f>
        <v>39500</v>
      </c>
      <c r="D92" s="11" t="n">
        <f aca="false">IF(Calculator!$B$6="Yes",MIN(B92,'Tax Tables'!$B$31*'Tax Tables'!$B$32),0)</f>
        <v>0</v>
      </c>
      <c r="E92" s="11" t="n">
        <f aca="false">D92*Calculator!$B$7</f>
        <v>0</v>
      </c>
      <c r="F92" s="11" t="n">
        <f aca="false">D92*Calculator!$B$8</f>
        <v>0</v>
      </c>
      <c r="G92" s="11" t="n">
        <f aca="false">IF(B92&gt;0,'Tax Tables'!$B$32*MIN(MAX(B92/'Tax Tables'!$B$32*'Tax Tables'!$B$33,'Tax Tables'!$B$34),'Tax Tables'!$B$35),0)</f>
        <v>0</v>
      </c>
      <c r="H92" s="11" t="n">
        <f aca="false">Calculator!$B$5-A92-F92-G92</f>
        <v>360500</v>
      </c>
      <c r="I92" s="11" t="n">
        <f aca="false">'Tax Tables'!$B$22*(MAX(H92,0)-IF(Calculator!$B$10="Yes",MIN(MAX(H92,0),'Tax Tables'!$B$27)*'Tax Tables'!$B$28+MIN(MAX(MAX(H92,0)-'Tax Tables'!$B$27,0),'Tax Tables'!$B$29)*'Tax Tables'!$B$30,MIN(MAX(H92,0),'Tax Tables'!$B$23)*'Tax Tables'!$B$24+MIN(MAX(MAX(H92,0)-'Tax Tables'!$B$23,0),'Tax Tables'!$B$25)*'Tax Tables'!$B$26))*1-MIN('Tax Tables'!$B$22*(MAX(H92,0)-IF(Calculator!$B$10="Yes",MIN(MAX(H92,0),'Tax Tables'!$B$27)*'Tax Tables'!$B$28+MIN(MAX(MAX(H92,0)-'Tax Tables'!$B$27,0),'Tax Tables'!$B$29)*'Tax Tables'!$B$30,MIN(MAX(H92,0),'Tax Tables'!$B$23)*'Tax Tables'!$B$24+MIN(MAX(MAX(H92,0)-'Tax Tables'!$B$23,0),'Tax Tables'!$B$25)*'Tax Tables'!$B$26))*Calculator!$B$11,Calculator!$B$12)</f>
        <v>43860</v>
      </c>
      <c r="J92" s="11" t="n">
        <f aca="false">MAX(H92,0)-I92</f>
        <v>316640</v>
      </c>
      <c r="K92" s="11" t="n">
        <f aca="false">MIN(IF(A92&gt;0,Calculator!$B$13,0)+E92+Calculator!$B$14,'Tax Tables'!$B$36)</f>
        <v>1000</v>
      </c>
      <c r="L92" s="11" t="n">
        <f aca="false">MAX(A92-K92,0)</f>
        <v>38500</v>
      </c>
      <c r="M92" s="11" t="n">
        <f aca="false">SUMPRODUCT((L92&gt;'Tax Tables'!$A$5:$A$17)*(L92-'Tax Tables'!$A$5:$A$17)*'Tax Tables'!$C$5:$C$17)</f>
        <v>497.5</v>
      </c>
      <c r="N92" s="11" t="n">
        <f aca="false">IF(H92&lt;0,-1E+099,A92-E92-M92+J92+(E92+F92)*Calculator!$B$9)</f>
        <v>355642.5</v>
      </c>
      <c r="O92" s="2"/>
      <c r="P92" s="11" t="n">
        <f aca="false">79*$B$3</f>
        <v>39500</v>
      </c>
      <c r="Q92" s="11" t="n">
        <f aca="false">MIN(P92,'Tax Tables'!$B$31*'Tax Tables'!$B$32)</f>
        <v>39500</v>
      </c>
      <c r="R92" s="11" t="n">
        <f aca="false">P92-Q92</f>
        <v>0</v>
      </c>
      <c r="S92" s="11" t="n">
        <f aca="false">IF(Calculator!$B$6="Yes",MIN(Q92,'Tax Tables'!$B$31*'Tax Tables'!$B$32),0)</f>
        <v>39500</v>
      </c>
      <c r="T92" s="11" t="n">
        <f aca="false">S92*Calculator!$B$7</f>
        <v>7900</v>
      </c>
      <c r="U92" s="11" t="n">
        <f aca="false">S92*Calculator!$B$8</f>
        <v>6715</v>
      </c>
      <c r="V92" s="11" t="n">
        <f aca="false">IF(Q92&gt;0,'Tax Tables'!$B$32*MIN(MAX(Q92/'Tax Tables'!$B$32*'Tax Tables'!$B$33,'Tax Tables'!$B$34),'Tax Tables'!$B$35),0)</f>
        <v>98.75</v>
      </c>
      <c r="W92" s="11" t="n">
        <f aca="false">Calculator!$B$5-P92-U92-V92</f>
        <v>353686.25</v>
      </c>
      <c r="X92" s="11" t="n">
        <f aca="false">'Tax Tables'!$B$22*(MAX(W92,0)-IF(Calculator!$B$10="Yes",MIN(MAX(W92,0),'Tax Tables'!$B$27)*'Tax Tables'!$B$28+MIN(MAX(MAX(W92,0)-'Tax Tables'!$B$27,0),'Tax Tables'!$B$29)*'Tax Tables'!$B$30,MIN(MAX(W92,0),'Tax Tables'!$B$23)*'Tax Tables'!$B$24+MIN(MAX(MAX(W92,0)-'Tax Tables'!$B$23,0),'Tax Tables'!$B$25)*'Tax Tables'!$B$26))*1-MIN('Tax Tables'!$B$22*(MAX(W92,0)-IF(Calculator!$B$10="Yes",MIN(MAX(W92,0),'Tax Tables'!$B$27)*'Tax Tables'!$B$28+MIN(MAX(MAX(W92,0)-'Tax Tables'!$B$27,0),'Tax Tables'!$B$29)*'Tax Tables'!$B$30,MIN(MAX(W92,0),'Tax Tables'!$B$23)*'Tax Tables'!$B$24+MIN(MAX(MAX(W92,0)-'Tax Tables'!$B$23,0),'Tax Tables'!$B$25)*'Tax Tables'!$B$26))*Calculator!$B$11,Calculator!$B$12)</f>
        <v>42701.6625</v>
      </c>
      <c r="Y92" s="11" t="n">
        <f aca="false">MAX(W92,0)-X92</f>
        <v>310984.5875</v>
      </c>
      <c r="Z92" s="11" t="n">
        <f aca="false">MIN(IF(P92&gt;0,Calculator!$B$13,0)+T92+Calculator!$B$14,'Tax Tables'!$B$36)</f>
        <v>8900</v>
      </c>
      <c r="AA92" s="11" t="n">
        <f aca="false">MAX(P92-Z92,0)</f>
        <v>30600</v>
      </c>
      <c r="AB92" s="11" t="n">
        <f aca="false">SUMPRODUCT((AA92&gt;'Tax Tables'!$A$5:$A$17)*(AA92-'Tax Tables'!$A$5:$A$17)*'Tax Tables'!$C$5:$C$17)</f>
        <v>221</v>
      </c>
      <c r="AC92" s="11" t="n">
        <f aca="false">IF(W92&lt;0,-1E+099,P92-T92-AB92+Y92+(T92+U92)*Calculator!$B$9)</f>
        <v>356978.5875</v>
      </c>
    </row>
    <row r="93" customFormat="false" ht="15" hidden="false" customHeight="false" outlineLevel="0" collapsed="false">
      <c r="A93" s="11" t="n">
        <f aca="false">80*$B$3</f>
        <v>40000</v>
      </c>
      <c r="B93" s="11" t="n">
        <f aca="false">0</f>
        <v>0</v>
      </c>
      <c r="C93" s="11" t="n">
        <f aca="false">A93-B93</f>
        <v>40000</v>
      </c>
      <c r="D93" s="11" t="n">
        <f aca="false">IF(Calculator!$B$6="Yes",MIN(B93,'Tax Tables'!$B$31*'Tax Tables'!$B$32),0)</f>
        <v>0</v>
      </c>
      <c r="E93" s="11" t="n">
        <f aca="false">D93*Calculator!$B$7</f>
        <v>0</v>
      </c>
      <c r="F93" s="11" t="n">
        <f aca="false">D93*Calculator!$B$8</f>
        <v>0</v>
      </c>
      <c r="G93" s="11" t="n">
        <f aca="false">IF(B93&gt;0,'Tax Tables'!$B$32*MIN(MAX(B93/'Tax Tables'!$B$32*'Tax Tables'!$B$33,'Tax Tables'!$B$34),'Tax Tables'!$B$35),0)</f>
        <v>0</v>
      </c>
      <c r="H93" s="11" t="n">
        <f aca="false">Calculator!$B$5-A93-F93-G93</f>
        <v>360000</v>
      </c>
      <c r="I93" s="11" t="n">
        <f aca="false">'Tax Tables'!$B$22*(MAX(H93,0)-IF(Calculator!$B$10="Yes",MIN(MAX(H93,0),'Tax Tables'!$B$27)*'Tax Tables'!$B$28+MIN(MAX(MAX(H93,0)-'Tax Tables'!$B$27,0),'Tax Tables'!$B$29)*'Tax Tables'!$B$30,MIN(MAX(H93,0),'Tax Tables'!$B$23)*'Tax Tables'!$B$24+MIN(MAX(MAX(H93,0)-'Tax Tables'!$B$23,0),'Tax Tables'!$B$25)*'Tax Tables'!$B$26))*1-MIN('Tax Tables'!$B$22*(MAX(H93,0)-IF(Calculator!$B$10="Yes",MIN(MAX(H93,0),'Tax Tables'!$B$27)*'Tax Tables'!$B$28+MIN(MAX(MAX(H93,0)-'Tax Tables'!$B$27,0),'Tax Tables'!$B$29)*'Tax Tables'!$B$30,MIN(MAX(H93,0),'Tax Tables'!$B$23)*'Tax Tables'!$B$24+MIN(MAX(MAX(H93,0)-'Tax Tables'!$B$23,0),'Tax Tables'!$B$25)*'Tax Tables'!$B$26))*Calculator!$B$11,Calculator!$B$12)</f>
        <v>43775</v>
      </c>
      <c r="J93" s="11" t="n">
        <f aca="false">MAX(H93,0)-I93</f>
        <v>316225</v>
      </c>
      <c r="K93" s="11" t="n">
        <f aca="false">MIN(IF(A93&gt;0,Calculator!$B$13,0)+E93+Calculator!$B$14,'Tax Tables'!$B$36)</f>
        <v>1000</v>
      </c>
      <c r="L93" s="11" t="n">
        <f aca="false">MAX(A93-K93,0)</f>
        <v>39000</v>
      </c>
      <c r="M93" s="11" t="n">
        <f aca="false">SUMPRODUCT((L93&gt;'Tax Tables'!$A$5:$A$17)*(L93-'Tax Tables'!$A$5:$A$17)*'Tax Tables'!$C$5:$C$17)</f>
        <v>515</v>
      </c>
      <c r="N93" s="11" t="n">
        <f aca="false">IF(H93&lt;0,-1E+099,A93-E93-M93+J93+(E93+F93)*Calculator!$B$9)</f>
        <v>355710</v>
      </c>
      <c r="O93" s="2"/>
      <c r="P93" s="11" t="n">
        <f aca="false">80*$B$3</f>
        <v>40000</v>
      </c>
      <c r="Q93" s="11" t="n">
        <f aca="false">MIN(P93,'Tax Tables'!$B$31*'Tax Tables'!$B$32)</f>
        <v>40000</v>
      </c>
      <c r="R93" s="11" t="n">
        <f aca="false">P93-Q93</f>
        <v>0</v>
      </c>
      <c r="S93" s="11" t="n">
        <f aca="false">IF(Calculator!$B$6="Yes",MIN(Q93,'Tax Tables'!$B$31*'Tax Tables'!$B$32),0)</f>
        <v>40000</v>
      </c>
      <c r="T93" s="11" t="n">
        <f aca="false">S93*Calculator!$B$7</f>
        <v>8000</v>
      </c>
      <c r="U93" s="11" t="n">
        <f aca="false">S93*Calculator!$B$8</f>
        <v>6800</v>
      </c>
      <c r="V93" s="11" t="n">
        <f aca="false">IF(Q93&gt;0,'Tax Tables'!$B$32*MIN(MAX(Q93/'Tax Tables'!$B$32*'Tax Tables'!$B$33,'Tax Tables'!$B$34),'Tax Tables'!$B$35),0)</f>
        <v>100</v>
      </c>
      <c r="W93" s="11" t="n">
        <f aca="false">Calculator!$B$5-P93-U93-V93</f>
        <v>353100</v>
      </c>
      <c r="X93" s="11" t="n">
        <f aca="false">'Tax Tables'!$B$22*(MAX(W93,0)-IF(Calculator!$B$10="Yes",MIN(MAX(W93,0),'Tax Tables'!$B$27)*'Tax Tables'!$B$28+MIN(MAX(MAX(W93,0)-'Tax Tables'!$B$27,0),'Tax Tables'!$B$29)*'Tax Tables'!$B$30,MIN(MAX(W93,0),'Tax Tables'!$B$23)*'Tax Tables'!$B$24+MIN(MAX(MAX(W93,0)-'Tax Tables'!$B$23,0),'Tax Tables'!$B$25)*'Tax Tables'!$B$26))*1-MIN('Tax Tables'!$B$22*(MAX(W93,0)-IF(Calculator!$B$10="Yes",MIN(MAX(W93,0),'Tax Tables'!$B$27)*'Tax Tables'!$B$28+MIN(MAX(MAX(W93,0)-'Tax Tables'!$B$27,0),'Tax Tables'!$B$29)*'Tax Tables'!$B$30,MIN(MAX(W93,0),'Tax Tables'!$B$23)*'Tax Tables'!$B$24+MIN(MAX(MAX(W93,0)-'Tax Tables'!$B$23,0),'Tax Tables'!$B$25)*'Tax Tables'!$B$26))*Calculator!$B$11,Calculator!$B$12)</f>
        <v>42602</v>
      </c>
      <c r="Y93" s="11" t="n">
        <f aca="false">MAX(W93,0)-X93</f>
        <v>310498</v>
      </c>
      <c r="Z93" s="11" t="n">
        <f aca="false">MIN(IF(P93&gt;0,Calculator!$B$13,0)+T93+Calculator!$B$14,'Tax Tables'!$B$36)</f>
        <v>9000</v>
      </c>
      <c r="AA93" s="11" t="n">
        <f aca="false">MAX(P93-Z93,0)</f>
        <v>31000</v>
      </c>
      <c r="AB93" s="11" t="n">
        <f aca="false">SUMPRODUCT((AA93&gt;'Tax Tables'!$A$5:$A$17)*(AA93-'Tax Tables'!$A$5:$A$17)*'Tax Tables'!$C$5:$C$17)</f>
        <v>235</v>
      </c>
      <c r="AC93" s="11" t="n">
        <f aca="false">IF(W93&lt;0,-1E+099,P93-T93-AB93+Y93+(T93+U93)*Calculator!$B$9)</f>
        <v>357063</v>
      </c>
    </row>
    <row r="94" customFormat="false" ht="15" hidden="false" customHeight="false" outlineLevel="0" collapsed="false">
      <c r="A94" s="11" t="n">
        <f aca="false">81*$B$3</f>
        <v>40500</v>
      </c>
      <c r="B94" s="11" t="n">
        <f aca="false">0</f>
        <v>0</v>
      </c>
      <c r="C94" s="11" t="n">
        <f aca="false">A94-B94</f>
        <v>40500</v>
      </c>
      <c r="D94" s="11" t="n">
        <f aca="false">IF(Calculator!$B$6="Yes",MIN(B94,'Tax Tables'!$B$31*'Tax Tables'!$B$32),0)</f>
        <v>0</v>
      </c>
      <c r="E94" s="11" t="n">
        <f aca="false">D94*Calculator!$B$7</f>
        <v>0</v>
      </c>
      <c r="F94" s="11" t="n">
        <f aca="false">D94*Calculator!$B$8</f>
        <v>0</v>
      </c>
      <c r="G94" s="11" t="n">
        <f aca="false">IF(B94&gt;0,'Tax Tables'!$B$32*MIN(MAX(B94/'Tax Tables'!$B$32*'Tax Tables'!$B$33,'Tax Tables'!$B$34),'Tax Tables'!$B$35),0)</f>
        <v>0</v>
      </c>
      <c r="H94" s="11" t="n">
        <f aca="false">Calculator!$B$5-A94-F94-G94</f>
        <v>359500</v>
      </c>
      <c r="I94" s="11" t="n">
        <f aca="false">'Tax Tables'!$B$22*(MAX(H94,0)-IF(Calculator!$B$10="Yes",MIN(MAX(H94,0),'Tax Tables'!$B$27)*'Tax Tables'!$B$28+MIN(MAX(MAX(H94,0)-'Tax Tables'!$B$27,0),'Tax Tables'!$B$29)*'Tax Tables'!$B$30,MIN(MAX(H94,0),'Tax Tables'!$B$23)*'Tax Tables'!$B$24+MIN(MAX(MAX(H94,0)-'Tax Tables'!$B$23,0),'Tax Tables'!$B$25)*'Tax Tables'!$B$26))*1-MIN('Tax Tables'!$B$22*(MAX(H94,0)-IF(Calculator!$B$10="Yes",MIN(MAX(H94,0),'Tax Tables'!$B$27)*'Tax Tables'!$B$28+MIN(MAX(MAX(H94,0)-'Tax Tables'!$B$27,0),'Tax Tables'!$B$29)*'Tax Tables'!$B$30,MIN(MAX(H94,0),'Tax Tables'!$B$23)*'Tax Tables'!$B$24+MIN(MAX(MAX(H94,0)-'Tax Tables'!$B$23,0),'Tax Tables'!$B$25)*'Tax Tables'!$B$26))*Calculator!$B$11,Calculator!$B$12)</f>
        <v>43690</v>
      </c>
      <c r="J94" s="11" t="n">
        <f aca="false">MAX(H94,0)-I94</f>
        <v>315810</v>
      </c>
      <c r="K94" s="11" t="n">
        <f aca="false">MIN(IF(A94&gt;0,Calculator!$B$13,0)+E94+Calculator!$B$14,'Tax Tables'!$B$36)</f>
        <v>1000</v>
      </c>
      <c r="L94" s="11" t="n">
        <f aca="false">MAX(A94-K94,0)</f>
        <v>39500</v>
      </c>
      <c r="M94" s="11" t="n">
        <f aca="false">SUMPRODUCT((L94&gt;'Tax Tables'!$A$5:$A$17)*(L94-'Tax Tables'!$A$5:$A$17)*'Tax Tables'!$C$5:$C$17)</f>
        <v>532.5</v>
      </c>
      <c r="N94" s="11" t="n">
        <f aca="false">IF(H94&lt;0,-1E+099,A94-E94-M94+J94+(E94+F94)*Calculator!$B$9)</f>
        <v>355777.5</v>
      </c>
      <c r="O94" s="2"/>
      <c r="P94" s="11" t="n">
        <f aca="false">81*$B$3</f>
        <v>40500</v>
      </c>
      <c r="Q94" s="11" t="n">
        <f aca="false">MIN(P94,'Tax Tables'!$B$31*'Tax Tables'!$B$32)</f>
        <v>40500</v>
      </c>
      <c r="R94" s="11" t="n">
        <f aca="false">P94-Q94</f>
        <v>0</v>
      </c>
      <c r="S94" s="11" t="n">
        <f aca="false">IF(Calculator!$B$6="Yes",MIN(Q94,'Tax Tables'!$B$31*'Tax Tables'!$B$32),0)</f>
        <v>40500</v>
      </c>
      <c r="T94" s="11" t="n">
        <f aca="false">S94*Calculator!$B$7</f>
        <v>8100</v>
      </c>
      <c r="U94" s="11" t="n">
        <f aca="false">S94*Calculator!$B$8</f>
        <v>6885</v>
      </c>
      <c r="V94" s="11" t="n">
        <f aca="false">IF(Q94&gt;0,'Tax Tables'!$B$32*MIN(MAX(Q94/'Tax Tables'!$B$32*'Tax Tables'!$B$33,'Tax Tables'!$B$34),'Tax Tables'!$B$35),0)</f>
        <v>101.25</v>
      </c>
      <c r="W94" s="11" t="n">
        <f aca="false">Calculator!$B$5-P94-U94-V94</f>
        <v>352513.75</v>
      </c>
      <c r="X94" s="11" t="n">
        <f aca="false">'Tax Tables'!$B$22*(MAX(W94,0)-IF(Calculator!$B$10="Yes",MIN(MAX(W94,0),'Tax Tables'!$B$27)*'Tax Tables'!$B$28+MIN(MAX(MAX(W94,0)-'Tax Tables'!$B$27,0),'Tax Tables'!$B$29)*'Tax Tables'!$B$30,MIN(MAX(W94,0),'Tax Tables'!$B$23)*'Tax Tables'!$B$24+MIN(MAX(MAX(W94,0)-'Tax Tables'!$B$23,0),'Tax Tables'!$B$25)*'Tax Tables'!$B$26))*1-MIN('Tax Tables'!$B$22*(MAX(W94,0)-IF(Calculator!$B$10="Yes",MIN(MAX(W94,0),'Tax Tables'!$B$27)*'Tax Tables'!$B$28+MIN(MAX(MAX(W94,0)-'Tax Tables'!$B$27,0),'Tax Tables'!$B$29)*'Tax Tables'!$B$30,MIN(MAX(W94,0),'Tax Tables'!$B$23)*'Tax Tables'!$B$24+MIN(MAX(MAX(W94,0)-'Tax Tables'!$B$23,0),'Tax Tables'!$B$25)*'Tax Tables'!$B$26))*Calculator!$B$11,Calculator!$B$12)</f>
        <v>42502.3375</v>
      </c>
      <c r="Y94" s="11" t="n">
        <f aca="false">MAX(W94,0)-X94</f>
        <v>310011.4125</v>
      </c>
      <c r="Z94" s="11" t="n">
        <f aca="false">MIN(IF(P94&gt;0,Calculator!$B$13,0)+T94+Calculator!$B$14,'Tax Tables'!$B$36)</f>
        <v>9100</v>
      </c>
      <c r="AA94" s="11" t="n">
        <f aca="false">MAX(P94-Z94,0)</f>
        <v>31400</v>
      </c>
      <c r="AB94" s="11" t="n">
        <f aca="false">SUMPRODUCT((AA94&gt;'Tax Tables'!$A$5:$A$17)*(AA94-'Tax Tables'!$A$5:$A$17)*'Tax Tables'!$C$5:$C$17)</f>
        <v>249</v>
      </c>
      <c r="AC94" s="11" t="n">
        <f aca="false">IF(W94&lt;0,-1E+099,P94-T94-AB94+Y94+(T94+U94)*Calculator!$B$9)</f>
        <v>357147.4125</v>
      </c>
    </row>
    <row r="95" customFormat="false" ht="15" hidden="false" customHeight="false" outlineLevel="0" collapsed="false">
      <c r="A95" s="11" t="n">
        <f aca="false">82*$B$3</f>
        <v>41000</v>
      </c>
      <c r="B95" s="11" t="n">
        <f aca="false">0</f>
        <v>0</v>
      </c>
      <c r="C95" s="11" t="n">
        <f aca="false">A95-B95</f>
        <v>41000</v>
      </c>
      <c r="D95" s="11" t="n">
        <f aca="false">IF(Calculator!$B$6="Yes",MIN(B95,'Tax Tables'!$B$31*'Tax Tables'!$B$32),0)</f>
        <v>0</v>
      </c>
      <c r="E95" s="11" t="n">
        <f aca="false">D95*Calculator!$B$7</f>
        <v>0</v>
      </c>
      <c r="F95" s="11" t="n">
        <f aca="false">D95*Calculator!$B$8</f>
        <v>0</v>
      </c>
      <c r="G95" s="11" t="n">
        <f aca="false">IF(B95&gt;0,'Tax Tables'!$B$32*MIN(MAX(B95/'Tax Tables'!$B$32*'Tax Tables'!$B$33,'Tax Tables'!$B$34),'Tax Tables'!$B$35),0)</f>
        <v>0</v>
      </c>
      <c r="H95" s="11" t="n">
        <f aca="false">Calculator!$B$5-A95-F95-G95</f>
        <v>359000</v>
      </c>
      <c r="I95" s="11" t="n">
        <f aca="false">'Tax Tables'!$B$22*(MAX(H95,0)-IF(Calculator!$B$10="Yes",MIN(MAX(H95,0),'Tax Tables'!$B$27)*'Tax Tables'!$B$28+MIN(MAX(MAX(H95,0)-'Tax Tables'!$B$27,0),'Tax Tables'!$B$29)*'Tax Tables'!$B$30,MIN(MAX(H95,0),'Tax Tables'!$B$23)*'Tax Tables'!$B$24+MIN(MAX(MAX(H95,0)-'Tax Tables'!$B$23,0),'Tax Tables'!$B$25)*'Tax Tables'!$B$26))*1-MIN('Tax Tables'!$B$22*(MAX(H95,0)-IF(Calculator!$B$10="Yes",MIN(MAX(H95,0),'Tax Tables'!$B$27)*'Tax Tables'!$B$28+MIN(MAX(MAX(H95,0)-'Tax Tables'!$B$27,0),'Tax Tables'!$B$29)*'Tax Tables'!$B$30,MIN(MAX(H95,0),'Tax Tables'!$B$23)*'Tax Tables'!$B$24+MIN(MAX(MAX(H95,0)-'Tax Tables'!$B$23,0),'Tax Tables'!$B$25)*'Tax Tables'!$B$26))*Calculator!$B$11,Calculator!$B$12)</f>
        <v>43605</v>
      </c>
      <c r="J95" s="11" t="n">
        <f aca="false">MAX(H95,0)-I95</f>
        <v>315395</v>
      </c>
      <c r="K95" s="11" t="n">
        <f aca="false">MIN(IF(A95&gt;0,Calculator!$B$13,0)+E95+Calculator!$B$14,'Tax Tables'!$B$36)</f>
        <v>1000</v>
      </c>
      <c r="L95" s="11" t="n">
        <f aca="false">MAX(A95-K95,0)</f>
        <v>40000</v>
      </c>
      <c r="M95" s="11" t="n">
        <f aca="false">SUMPRODUCT((L95&gt;'Tax Tables'!$A$5:$A$17)*(L95-'Tax Tables'!$A$5:$A$17)*'Tax Tables'!$C$5:$C$17)</f>
        <v>550</v>
      </c>
      <c r="N95" s="11" t="n">
        <f aca="false">IF(H95&lt;0,-1E+099,A95-E95-M95+J95+(E95+F95)*Calculator!$B$9)</f>
        <v>355845</v>
      </c>
      <c r="O95" s="2"/>
      <c r="P95" s="11" t="n">
        <f aca="false">82*$B$3</f>
        <v>41000</v>
      </c>
      <c r="Q95" s="11" t="n">
        <f aca="false">MIN(P95,'Tax Tables'!$B$31*'Tax Tables'!$B$32)</f>
        <v>41000</v>
      </c>
      <c r="R95" s="11" t="n">
        <f aca="false">P95-Q95</f>
        <v>0</v>
      </c>
      <c r="S95" s="11" t="n">
        <f aca="false">IF(Calculator!$B$6="Yes",MIN(Q95,'Tax Tables'!$B$31*'Tax Tables'!$B$32),0)</f>
        <v>41000</v>
      </c>
      <c r="T95" s="11" t="n">
        <f aca="false">S95*Calculator!$B$7</f>
        <v>8200</v>
      </c>
      <c r="U95" s="11" t="n">
        <f aca="false">S95*Calculator!$B$8</f>
        <v>6970</v>
      </c>
      <c r="V95" s="11" t="n">
        <f aca="false">IF(Q95&gt;0,'Tax Tables'!$B$32*MIN(MAX(Q95/'Tax Tables'!$B$32*'Tax Tables'!$B$33,'Tax Tables'!$B$34),'Tax Tables'!$B$35),0)</f>
        <v>102.5</v>
      </c>
      <c r="W95" s="11" t="n">
        <f aca="false">Calculator!$B$5-P95-U95-V95</f>
        <v>351927.5</v>
      </c>
      <c r="X95" s="11" t="n">
        <f aca="false">'Tax Tables'!$B$22*(MAX(W95,0)-IF(Calculator!$B$10="Yes",MIN(MAX(W95,0),'Tax Tables'!$B$27)*'Tax Tables'!$B$28+MIN(MAX(MAX(W95,0)-'Tax Tables'!$B$27,0),'Tax Tables'!$B$29)*'Tax Tables'!$B$30,MIN(MAX(W95,0),'Tax Tables'!$B$23)*'Tax Tables'!$B$24+MIN(MAX(MAX(W95,0)-'Tax Tables'!$B$23,0),'Tax Tables'!$B$25)*'Tax Tables'!$B$26))*1-MIN('Tax Tables'!$B$22*(MAX(W95,0)-IF(Calculator!$B$10="Yes",MIN(MAX(W95,0),'Tax Tables'!$B$27)*'Tax Tables'!$B$28+MIN(MAX(MAX(W95,0)-'Tax Tables'!$B$27,0),'Tax Tables'!$B$29)*'Tax Tables'!$B$30,MIN(MAX(W95,0),'Tax Tables'!$B$23)*'Tax Tables'!$B$24+MIN(MAX(MAX(W95,0)-'Tax Tables'!$B$23,0),'Tax Tables'!$B$25)*'Tax Tables'!$B$26))*Calculator!$B$11,Calculator!$B$12)</f>
        <v>42402.675</v>
      </c>
      <c r="Y95" s="11" t="n">
        <f aca="false">MAX(W95,0)-X95</f>
        <v>309524.825</v>
      </c>
      <c r="Z95" s="11" t="n">
        <f aca="false">MIN(IF(P95&gt;0,Calculator!$B$13,0)+T95+Calculator!$B$14,'Tax Tables'!$B$36)</f>
        <v>9200</v>
      </c>
      <c r="AA95" s="11" t="n">
        <f aca="false">MAX(P95-Z95,0)</f>
        <v>31800</v>
      </c>
      <c r="AB95" s="11" t="n">
        <f aca="false">SUMPRODUCT((AA95&gt;'Tax Tables'!$A$5:$A$17)*(AA95-'Tax Tables'!$A$5:$A$17)*'Tax Tables'!$C$5:$C$17)</f>
        <v>263</v>
      </c>
      <c r="AC95" s="11" t="n">
        <f aca="false">IF(W95&lt;0,-1E+099,P95-T95-AB95+Y95+(T95+U95)*Calculator!$B$9)</f>
        <v>357231.825</v>
      </c>
    </row>
    <row r="96" customFormat="false" ht="15" hidden="false" customHeight="false" outlineLevel="0" collapsed="false">
      <c r="A96" s="11" t="n">
        <f aca="false">83*$B$3</f>
        <v>41500</v>
      </c>
      <c r="B96" s="11" t="n">
        <f aca="false">0</f>
        <v>0</v>
      </c>
      <c r="C96" s="11" t="n">
        <f aca="false">A96-B96</f>
        <v>41500</v>
      </c>
      <c r="D96" s="11" t="n">
        <f aca="false">IF(Calculator!$B$6="Yes",MIN(B96,'Tax Tables'!$B$31*'Tax Tables'!$B$32),0)</f>
        <v>0</v>
      </c>
      <c r="E96" s="11" t="n">
        <f aca="false">D96*Calculator!$B$7</f>
        <v>0</v>
      </c>
      <c r="F96" s="11" t="n">
        <f aca="false">D96*Calculator!$B$8</f>
        <v>0</v>
      </c>
      <c r="G96" s="11" t="n">
        <f aca="false">IF(B96&gt;0,'Tax Tables'!$B$32*MIN(MAX(B96/'Tax Tables'!$B$32*'Tax Tables'!$B$33,'Tax Tables'!$B$34),'Tax Tables'!$B$35),0)</f>
        <v>0</v>
      </c>
      <c r="H96" s="11" t="n">
        <f aca="false">Calculator!$B$5-A96-F96-G96</f>
        <v>358500</v>
      </c>
      <c r="I96" s="11" t="n">
        <f aca="false">'Tax Tables'!$B$22*(MAX(H96,0)-IF(Calculator!$B$10="Yes",MIN(MAX(H96,0),'Tax Tables'!$B$27)*'Tax Tables'!$B$28+MIN(MAX(MAX(H96,0)-'Tax Tables'!$B$27,0),'Tax Tables'!$B$29)*'Tax Tables'!$B$30,MIN(MAX(H96,0),'Tax Tables'!$B$23)*'Tax Tables'!$B$24+MIN(MAX(MAX(H96,0)-'Tax Tables'!$B$23,0),'Tax Tables'!$B$25)*'Tax Tables'!$B$26))*1-MIN('Tax Tables'!$B$22*(MAX(H96,0)-IF(Calculator!$B$10="Yes",MIN(MAX(H96,0),'Tax Tables'!$B$27)*'Tax Tables'!$B$28+MIN(MAX(MAX(H96,0)-'Tax Tables'!$B$27,0),'Tax Tables'!$B$29)*'Tax Tables'!$B$30,MIN(MAX(H96,0),'Tax Tables'!$B$23)*'Tax Tables'!$B$24+MIN(MAX(MAX(H96,0)-'Tax Tables'!$B$23,0),'Tax Tables'!$B$25)*'Tax Tables'!$B$26))*Calculator!$B$11,Calculator!$B$12)</f>
        <v>43520</v>
      </c>
      <c r="J96" s="11" t="n">
        <f aca="false">MAX(H96,0)-I96</f>
        <v>314980</v>
      </c>
      <c r="K96" s="11" t="n">
        <f aca="false">MIN(IF(A96&gt;0,Calculator!$B$13,0)+E96+Calculator!$B$14,'Tax Tables'!$B$36)</f>
        <v>1000</v>
      </c>
      <c r="L96" s="11" t="n">
        <f aca="false">MAX(A96-K96,0)</f>
        <v>40500</v>
      </c>
      <c r="M96" s="11" t="n">
        <f aca="false">SUMPRODUCT((L96&gt;'Tax Tables'!$A$5:$A$17)*(L96-'Tax Tables'!$A$5:$A$17)*'Tax Tables'!$C$5:$C$17)</f>
        <v>585</v>
      </c>
      <c r="N96" s="11" t="n">
        <f aca="false">IF(H96&lt;0,-1E+099,A96-E96-M96+J96+(E96+F96)*Calculator!$B$9)</f>
        <v>355895</v>
      </c>
      <c r="O96" s="2"/>
      <c r="P96" s="11" t="n">
        <f aca="false">83*$B$3</f>
        <v>41500</v>
      </c>
      <c r="Q96" s="11" t="n">
        <f aca="false">MIN(P96,'Tax Tables'!$B$31*'Tax Tables'!$B$32)</f>
        <v>41500</v>
      </c>
      <c r="R96" s="11" t="n">
        <f aca="false">P96-Q96</f>
        <v>0</v>
      </c>
      <c r="S96" s="11" t="n">
        <f aca="false">IF(Calculator!$B$6="Yes",MIN(Q96,'Tax Tables'!$B$31*'Tax Tables'!$B$32),0)</f>
        <v>41500</v>
      </c>
      <c r="T96" s="11" t="n">
        <f aca="false">S96*Calculator!$B$7</f>
        <v>8300</v>
      </c>
      <c r="U96" s="11" t="n">
        <f aca="false">S96*Calculator!$B$8</f>
        <v>7055</v>
      </c>
      <c r="V96" s="11" t="n">
        <f aca="false">IF(Q96&gt;0,'Tax Tables'!$B$32*MIN(MAX(Q96/'Tax Tables'!$B$32*'Tax Tables'!$B$33,'Tax Tables'!$B$34),'Tax Tables'!$B$35),0)</f>
        <v>103.75</v>
      </c>
      <c r="W96" s="11" t="n">
        <f aca="false">Calculator!$B$5-P96-U96-V96</f>
        <v>351341.25</v>
      </c>
      <c r="X96" s="11" t="n">
        <f aca="false">'Tax Tables'!$B$22*(MAX(W96,0)-IF(Calculator!$B$10="Yes",MIN(MAX(W96,0),'Tax Tables'!$B$27)*'Tax Tables'!$B$28+MIN(MAX(MAX(W96,0)-'Tax Tables'!$B$27,0),'Tax Tables'!$B$29)*'Tax Tables'!$B$30,MIN(MAX(W96,0),'Tax Tables'!$B$23)*'Tax Tables'!$B$24+MIN(MAX(MAX(W96,0)-'Tax Tables'!$B$23,0),'Tax Tables'!$B$25)*'Tax Tables'!$B$26))*1-MIN('Tax Tables'!$B$22*(MAX(W96,0)-IF(Calculator!$B$10="Yes",MIN(MAX(W96,0),'Tax Tables'!$B$27)*'Tax Tables'!$B$28+MIN(MAX(MAX(W96,0)-'Tax Tables'!$B$27,0),'Tax Tables'!$B$29)*'Tax Tables'!$B$30,MIN(MAX(W96,0),'Tax Tables'!$B$23)*'Tax Tables'!$B$24+MIN(MAX(MAX(W96,0)-'Tax Tables'!$B$23,0),'Tax Tables'!$B$25)*'Tax Tables'!$B$26))*Calculator!$B$11,Calculator!$B$12)</f>
        <v>42303.0125</v>
      </c>
      <c r="Y96" s="11" t="n">
        <f aca="false">MAX(W96,0)-X96</f>
        <v>309038.2375</v>
      </c>
      <c r="Z96" s="11" t="n">
        <f aca="false">MIN(IF(P96&gt;0,Calculator!$B$13,0)+T96+Calculator!$B$14,'Tax Tables'!$B$36)</f>
        <v>9300</v>
      </c>
      <c r="AA96" s="11" t="n">
        <f aca="false">MAX(P96-Z96,0)</f>
        <v>32200</v>
      </c>
      <c r="AB96" s="11" t="n">
        <f aca="false">SUMPRODUCT((AA96&gt;'Tax Tables'!$A$5:$A$17)*(AA96-'Tax Tables'!$A$5:$A$17)*'Tax Tables'!$C$5:$C$17)</f>
        <v>277</v>
      </c>
      <c r="AC96" s="11" t="n">
        <f aca="false">IF(W96&lt;0,-1E+099,P96-T96-AB96+Y96+(T96+U96)*Calculator!$B$9)</f>
        <v>357316.2375</v>
      </c>
    </row>
    <row r="97" customFormat="false" ht="15" hidden="false" customHeight="false" outlineLevel="0" collapsed="false">
      <c r="A97" s="11" t="n">
        <f aca="false">84*$B$3</f>
        <v>42000</v>
      </c>
      <c r="B97" s="11" t="n">
        <f aca="false">0</f>
        <v>0</v>
      </c>
      <c r="C97" s="11" t="n">
        <f aca="false">A97-B97</f>
        <v>42000</v>
      </c>
      <c r="D97" s="11" t="n">
        <f aca="false">IF(Calculator!$B$6="Yes",MIN(B97,'Tax Tables'!$B$31*'Tax Tables'!$B$32),0)</f>
        <v>0</v>
      </c>
      <c r="E97" s="11" t="n">
        <f aca="false">D97*Calculator!$B$7</f>
        <v>0</v>
      </c>
      <c r="F97" s="11" t="n">
        <f aca="false">D97*Calculator!$B$8</f>
        <v>0</v>
      </c>
      <c r="G97" s="11" t="n">
        <f aca="false">IF(B97&gt;0,'Tax Tables'!$B$32*MIN(MAX(B97/'Tax Tables'!$B$32*'Tax Tables'!$B$33,'Tax Tables'!$B$34),'Tax Tables'!$B$35),0)</f>
        <v>0</v>
      </c>
      <c r="H97" s="11" t="n">
        <f aca="false">Calculator!$B$5-A97-F97-G97</f>
        <v>358000</v>
      </c>
      <c r="I97" s="11" t="n">
        <f aca="false">'Tax Tables'!$B$22*(MAX(H97,0)-IF(Calculator!$B$10="Yes",MIN(MAX(H97,0),'Tax Tables'!$B$27)*'Tax Tables'!$B$28+MIN(MAX(MAX(H97,0)-'Tax Tables'!$B$27,0),'Tax Tables'!$B$29)*'Tax Tables'!$B$30,MIN(MAX(H97,0),'Tax Tables'!$B$23)*'Tax Tables'!$B$24+MIN(MAX(MAX(H97,0)-'Tax Tables'!$B$23,0),'Tax Tables'!$B$25)*'Tax Tables'!$B$26))*1-MIN('Tax Tables'!$B$22*(MAX(H97,0)-IF(Calculator!$B$10="Yes",MIN(MAX(H97,0),'Tax Tables'!$B$27)*'Tax Tables'!$B$28+MIN(MAX(MAX(H97,0)-'Tax Tables'!$B$27,0),'Tax Tables'!$B$29)*'Tax Tables'!$B$30,MIN(MAX(H97,0),'Tax Tables'!$B$23)*'Tax Tables'!$B$24+MIN(MAX(MAX(H97,0)-'Tax Tables'!$B$23,0),'Tax Tables'!$B$25)*'Tax Tables'!$B$26))*Calculator!$B$11,Calculator!$B$12)</f>
        <v>43435</v>
      </c>
      <c r="J97" s="11" t="n">
        <f aca="false">MAX(H97,0)-I97</f>
        <v>314565</v>
      </c>
      <c r="K97" s="11" t="n">
        <f aca="false">MIN(IF(A97&gt;0,Calculator!$B$13,0)+E97+Calculator!$B$14,'Tax Tables'!$B$36)</f>
        <v>1000</v>
      </c>
      <c r="L97" s="11" t="n">
        <f aca="false">MAX(A97-K97,0)</f>
        <v>41000</v>
      </c>
      <c r="M97" s="11" t="n">
        <f aca="false">SUMPRODUCT((L97&gt;'Tax Tables'!$A$5:$A$17)*(L97-'Tax Tables'!$A$5:$A$17)*'Tax Tables'!$C$5:$C$17)</f>
        <v>620</v>
      </c>
      <c r="N97" s="11" t="n">
        <f aca="false">IF(H97&lt;0,-1E+099,A97-E97-M97+J97+(E97+F97)*Calculator!$B$9)</f>
        <v>355945</v>
      </c>
      <c r="O97" s="2"/>
      <c r="P97" s="11" t="n">
        <f aca="false">84*$B$3</f>
        <v>42000</v>
      </c>
      <c r="Q97" s="11" t="n">
        <f aca="false">MIN(P97,'Tax Tables'!$B$31*'Tax Tables'!$B$32)</f>
        <v>42000</v>
      </c>
      <c r="R97" s="11" t="n">
        <f aca="false">P97-Q97</f>
        <v>0</v>
      </c>
      <c r="S97" s="11" t="n">
        <f aca="false">IF(Calculator!$B$6="Yes",MIN(Q97,'Tax Tables'!$B$31*'Tax Tables'!$B$32),0)</f>
        <v>42000</v>
      </c>
      <c r="T97" s="11" t="n">
        <f aca="false">S97*Calculator!$B$7</f>
        <v>8400</v>
      </c>
      <c r="U97" s="11" t="n">
        <f aca="false">S97*Calculator!$B$8</f>
        <v>7140</v>
      </c>
      <c r="V97" s="11" t="n">
        <f aca="false">IF(Q97&gt;0,'Tax Tables'!$B$32*MIN(MAX(Q97/'Tax Tables'!$B$32*'Tax Tables'!$B$33,'Tax Tables'!$B$34),'Tax Tables'!$B$35),0)</f>
        <v>105</v>
      </c>
      <c r="W97" s="11" t="n">
        <f aca="false">Calculator!$B$5-P97-U97-V97</f>
        <v>350755</v>
      </c>
      <c r="X97" s="11" t="n">
        <f aca="false">'Tax Tables'!$B$22*(MAX(W97,0)-IF(Calculator!$B$10="Yes",MIN(MAX(W97,0),'Tax Tables'!$B$27)*'Tax Tables'!$B$28+MIN(MAX(MAX(W97,0)-'Tax Tables'!$B$27,0),'Tax Tables'!$B$29)*'Tax Tables'!$B$30,MIN(MAX(W97,0),'Tax Tables'!$B$23)*'Tax Tables'!$B$24+MIN(MAX(MAX(W97,0)-'Tax Tables'!$B$23,0),'Tax Tables'!$B$25)*'Tax Tables'!$B$26))*1-MIN('Tax Tables'!$B$22*(MAX(W97,0)-IF(Calculator!$B$10="Yes",MIN(MAX(W97,0),'Tax Tables'!$B$27)*'Tax Tables'!$B$28+MIN(MAX(MAX(W97,0)-'Tax Tables'!$B$27,0),'Tax Tables'!$B$29)*'Tax Tables'!$B$30,MIN(MAX(W97,0),'Tax Tables'!$B$23)*'Tax Tables'!$B$24+MIN(MAX(MAX(W97,0)-'Tax Tables'!$B$23,0),'Tax Tables'!$B$25)*'Tax Tables'!$B$26))*Calculator!$B$11,Calculator!$B$12)</f>
        <v>42203.35</v>
      </c>
      <c r="Y97" s="11" t="n">
        <f aca="false">MAX(W97,0)-X97</f>
        <v>308551.65</v>
      </c>
      <c r="Z97" s="11" t="n">
        <f aca="false">MIN(IF(P97&gt;0,Calculator!$B$13,0)+T97+Calculator!$B$14,'Tax Tables'!$B$36)</f>
        <v>9400</v>
      </c>
      <c r="AA97" s="11" t="n">
        <f aca="false">MAX(P97-Z97,0)</f>
        <v>32600</v>
      </c>
      <c r="AB97" s="11" t="n">
        <f aca="false">SUMPRODUCT((AA97&gt;'Tax Tables'!$A$5:$A$17)*(AA97-'Tax Tables'!$A$5:$A$17)*'Tax Tables'!$C$5:$C$17)</f>
        <v>291</v>
      </c>
      <c r="AC97" s="11" t="n">
        <f aca="false">IF(W97&lt;0,-1E+099,P97-T97-AB97+Y97+(T97+U97)*Calculator!$B$9)</f>
        <v>357400.65</v>
      </c>
    </row>
    <row r="98" customFormat="false" ht="15" hidden="false" customHeight="false" outlineLevel="0" collapsed="false">
      <c r="A98" s="11" t="n">
        <f aca="false">85*$B$3</f>
        <v>42500</v>
      </c>
      <c r="B98" s="11" t="n">
        <f aca="false">0</f>
        <v>0</v>
      </c>
      <c r="C98" s="11" t="n">
        <f aca="false">A98-B98</f>
        <v>42500</v>
      </c>
      <c r="D98" s="11" t="n">
        <f aca="false">IF(Calculator!$B$6="Yes",MIN(B98,'Tax Tables'!$B$31*'Tax Tables'!$B$32),0)</f>
        <v>0</v>
      </c>
      <c r="E98" s="11" t="n">
        <f aca="false">D98*Calculator!$B$7</f>
        <v>0</v>
      </c>
      <c r="F98" s="11" t="n">
        <f aca="false">D98*Calculator!$B$8</f>
        <v>0</v>
      </c>
      <c r="G98" s="11" t="n">
        <f aca="false">IF(B98&gt;0,'Tax Tables'!$B$32*MIN(MAX(B98/'Tax Tables'!$B$32*'Tax Tables'!$B$33,'Tax Tables'!$B$34),'Tax Tables'!$B$35),0)</f>
        <v>0</v>
      </c>
      <c r="H98" s="11" t="n">
        <f aca="false">Calculator!$B$5-A98-F98-G98</f>
        <v>357500</v>
      </c>
      <c r="I98" s="11" t="n">
        <f aca="false">'Tax Tables'!$B$22*(MAX(H98,0)-IF(Calculator!$B$10="Yes",MIN(MAX(H98,0),'Tax Tables'!$B$27)*'Tax Tables'!$B$28+MIN(MAX(MAX(H98,0)-'Tax Tables'!$B$27,0),'Tax Tables'!$B$29)*'Tax Tables'!$B$30,MIN(MAX(H98,0),'Tax Tables'!$B$23)*'Tax Tables'!$B$24+MIN(MAX(MAX(H98,0)-'Tax Tables'!$B$23,0),'Tax Tables'!$B$25)*'Tax Tables'!$B$26))*1-MIN('Tax Tables'!$B$22*(MAX(H98,0)-IF(Calculator!$B$10="Yes",MIN(MAX(H98,0),'Tax Tables'!$B$27)*'Tax Tables'!$B$28+MIN(MAX(MAX(H98,0)-'Tax Tables'!$B$27,0),'Tax Tables'!$B$29)*'Tax Tables'!$B$30,MIN(MAX(H98,0),'Tax Tables'!$B$23)*'Tax Tables'!$B$24+MIN(MAX(MAX(H98,0)-'Tax Tables'!$B$23,0),'Tax Tables'!$B$25)*'Tax Tables'!$B$26))*Calculator!$B$11,Calculator!$B$12)</f>
        <v>43350</v>
      </c>
      <c r="J98" s="11" t="n">
        <f aca="false">MAX(H98,0)-I98</f>
        <v>314150</v>
      </c>
      <c r="K98" s="11" t="n">
        <f aca="false">MIN(IF(A98&gt;0,Calculator!$B$13,0)+E98+Calculator!$B$14,'Tax Tables'!$B$36)</f>
        <v>1000</v>
      </c>
      <c r="L98" s="11" t="n">
        <f aca="false">MAX(A98-K98,0)</f>
        <v>41500</v>
      </c>
      <c r="M98" s="11" t="n">
        <f aca="false">SUMPRODUCT((L98&gt;'Tax Tables'!$A$5:$A$17)*(L98-'Tax Tables'!$A$5:$A$17)*'Tax Tables'!$C$5:$C$17)</f>
        <v>655</v>
      </c>
      <c r="N98" s="11" t="n">
        <f aca="false">IF(H98&lt;0,-1E+099,A98-E98-M98+J98+(E98+F98)*Calculator!$B$9)</f>
        <v>355995</v>
      </c>
      <c r="O98" s="2"/>
      <c r="P98" s="11" t="n">
        <f aca="false">85*$B$3</f>
        <v>42500</v>
      </c>
      <c r="Q98" s="11" t="n">
        <f aca="false">MIN(P98,'Tax Tables'!$B$31*'Tax Tables'!$B$32)</f>
        <v>42500</v>
      </c>
      <c r="R98" s="11" t="n">
        <f aca="false">P98-Q98</f>
        <v>0</v>
      </c>
      <c r="S98" s="11" t="n">
        <f aca="false">IF(Calculator!$B$6="Yes",MIN(Q98,'Tax Tables'!$B$31*'Tax Tables'!$B$32),0)</f>
        <v>42500</v>
      </c>
      <c r="T98" s="11" t="n">
        <f aca="false">S98*Calculator!$B$7</f>
        <v>8500</v>
      </c>
      <c r="U98" s="11" t="n">
        <f aca="false">S98*Calculator!$B$8</f>
        <v>7225</v>
      </c>
      <c r="V98" s="11" t="n">
        <f aca="false">IF(Q98&gt;0,'Tax Tables'!$B$32*MIN(MAX(Q98/'Tax Tables'!$B$32*'Tax Tables'!$B$33,'Tax Tables'!$B$34),'Tax Tables'!$B$35),0)</f>
        <v>106.25</v>
      </c>
      <c r="W98" s="11" t="n">
        <f aca="false">Calculator!$B$5-P98-U98-V98</f>
        <v>350168.75</v>
      </c>
      <c r="X98" s="11" t="n">
        <f aca="false">'Tax Tables'!$B$22*(MAX(W98,0)-IF(Calculator!$B$10="Yes",MIN(MAX(W98,0),'Tax Tables'!$B$27)*'Tax Tables'!$B$28+MIN(MAX(MAX(W98,0)-'Tax Tables'!$B$27,0),'Tax Tables'!$B$29)*'Tax Tables'!$B$30,MIN(MAX(W98,0),'Tax Tables'!$B$23)*'Tax Tables'!$B$24+MIN(MAX(MAX(W98,0)-'Tax Tables'!$B$23,0),'Tax Tables'!$B$25)*'Tax Tables'!$B$26))*1-MIN('Tax Tables'!$B$22*(MAX(W98,0)-IF(Calculator!$B$10="Yes",MIN(MAX(W98,0),'Tax Tables'!$B$27)*'Tax Tables'!$B$28+MIN(MAX(MAX(W98,0)-'Tax Tables'!$B$27,0),'Tax Tables'!$B$29)*'Tax Tables'!$B$30,MIN(MAX(W98,0),'Tax Tables'!$B$23)*'Tax Tables'!$B$24+MIN(MAX(MAX(W98,0)-'Tax Tables'!$B$23,0),'Tax Tables'!$B$25)*'Tax Tables'!$B$26))*Calculator!$B$11,Calculator!$B$12)</f>
        <v>42103.6875</v>
      </c>
      <c r="Y98" s="11" t="n">
        <f aca="false">MAX(W98,0)-X98</f>
        <v>308065.0625</v>
      </c>
      <c r="Z98" s="11" t="n">
        <f aca="false">MIN(IF(P98&gt;0,Calculator!$B$13,0)+T98+Calculator!$B$14,'Tax Tables'!$B$36)</f>
        <v>9500</v>
      </c>
      <c r="AA98" s="11" t="n">
        <f aca="false">MAX(P98-Z98,0)</f>
        <v>33000</v>
      </c>
      <c r="AB98" s="11" t="n">
        <f aca="false">SUMPRODUCT((AA98&gt;'Tax Tables'!$A$5:$A$17)*(AA98-'Tax Tables'!$A$5:$A$17)*'Tax Tables'!$C$5:$C$17)</f>
        <v>305</v>
      </c>
      <c r="AC98" s="11" t="n">
        <f aca="false">IF(W98&lt;0,-1E+099,P98-T98-AB98+Y98+(T98+U98)*Calculator!$B$9)</f>
        <v>357485.0625</v>
      </c>
    </row>
    <row r="99" customFormat="false" ht="15" hidden="false" customHeight="false" outlineLevel="0" collapsed="false">
      <c r="A99" s="11" t="n">
        <f aca="false">86*$B$3</f>
        <v>43000</v>
      </c>
      <c r="B99" s="11" t="n">
        <f aca="false">0</f>
        <v>0</v>
      </c>
      <c r="C99" s="11" t="n">
        <f aca="false">A99-B99</f>
        <v>43000</v>
      </c>
      <c r="D99" s="11" t="n">
        <f aca="false">IF(Calculator!$B$6="Yes",MIN(B99,'Tax Tables'!$B$31*'Tax Tables'!$B$32),0)</f>
        <v>0</v>
      </c>
      <c r="E99" s="11" t="n">
        <f aca="false">D99*Calculator!$B$7</f>
        <v>0</v>
      </c>
      <c r="F99" s="11" t="n">
        <f aca="false">D99*Calculator!$B$8</f>
        <v>0</v>
      </c>
      <c r="G99" s="11" t="n">
        <f aca="false">IF(B99&gt;0,'Tax Tables'!$B$32*MIN(MAX(B99/'Tax Tables'!$B$32*'Tax Tables'!$B$33,'Tax Tables'!$B$34),'Tax Tables'!$B$35),0)</f>
        <v>0</v>
      </c>
      <c r="H99" s="11" t="n">
        <f aca="false">Calculator!$B$5-A99-F99-G99</f>
        <v>357000</v>
      </c>
      <c r="I99" s="11" t="n">
        <f aca="false">'Tax Tables'!$B$22*(MAX(H99,0)-IF(Calculator!$B$10="Yes",MIN(MAX(H99,0),'Tax Tables'!$B$27)*'Tax Tables'!$B$28+MIN(MAX(MAX(H99,0)-'Tax Tables'!$B$27,0),'Tax Tables'!$B$29)*'Tax Tables'!$B$30,MIN(MAX(H99,0),'Tax Tables'!$B$23)*'Tax Tables'!$B$24+MIN(MAX(MAX(H99,0)-'Tax Tables'!$B$23,0),'Tax Tables'!$B$25)*'Tax Tables'!$B$26))*1-MIN('Tax Tables'!$B$22*(MAX(H99,0)-IF(Calculator!$B$10="Yes",MIN(MAX(H99,0),'Tax Tables'!$B$27)*'Tax Tables'!$B$28+MIN(MAX(MAX(H99,0)-'Tax Tables'!$B$27,0),'Tax Tables'!$B$29)*'Tax Tables'!$B$30,MIN(MAX(H99,0),'Tax Tables'!$B$23)*'Tax Tables'!$B$24+MIN(MAX(MAX(H99,0)-'Tax Tables'!$B$23,0),'Tax Tables'!$B$25)*'Tax Tables'!$B$26))*Calculator!$B$11,Calculator!$B$12)</f>
        <v>43265</v>
      </c>
      <c r="J99" s="11" t="n">
        <f aca="false">MAX(H99,0)-I99</f>
        <v>313735</v>
      </c>
      <c r="K99" s="11" t="n">
        <f aca="false">MIN(IF(A99&gt;0,Calculator!$B$13,0)+E99+Calculator!$B$14,'Tax Tables'!$B$36)</f>
        <v>1000</v>
      </c>
      <c r="L99" s="11" t="n">
        <f aca="false">MAX(A99-K99,0)</f>
        <v>42000</v>
      </c>
      <c r="M99" s="11" t="n">
        <f aca="false">SUMPRODUCT((L99&gt;'Tax Tables'!$A$5:$A$17)*(L99-'Tax Tables'!$A$5:$A$17)*'Tax Tables'!$C$5:$C$17)</f>
        <v>690</v>
      </c>
      <c r="N99" s="11" t="n">
        <f aca="false">IF(H99&lt;0,-1E+099,A99-E99-M99+J99+(E99+F99)*Calculator!$B$9)</f>
        <v>356045</v>
      </c>
      <c r="O99" s="2"/>
      <c r="P99" s="11" t="n">
        <f aca="false">86*$B$3</f>
        <v>43000</v>
      </c>
      <c r="Q99" s="11" t="n">
        <f aca="false">MIN(P99,'Tax Tables'!$B$31*'Tax Tables'!$B$32)</f>
        <v>43000</v>
      </c>
      <c r="R99" s="11" t="n">
        <f aca="false">P99-Q99</f>
        <v>0</v>
      </c>
      <c r="S99" s="11" t="n">
        <f aca="false">IF(Calculator!$B$6="Yes",MIN(Q99,'Tax Tables'!$B$31*'Tax Tables'!$B$32),0)</f>
        <v>43000</v>
      </c>
      <c r="T99" s="11" t="n">
        <f aca="false">S99*Calculator!$B$7</f>
        <v>8600</v>
      </c>
      <c r="U99" s="11" t="n">
        <f aca="false">S99*Calculator!$B$8</f>
        <v>7310</v>
      </c>
      <c r="V99" s="11" t="n">
        <f aca="false">IF(Q99&gt;0,'Tax Tables'!$B$32*MIN(MAX(Q99/'Tax Tables'!$B$32*'Tax Tables'!$B$33,'Tax Tables'!$B$34),'Tax Tables'!$B$35),0)</f>
        <v>107.5</v>
      </c>
      <c r="W99" s="11" t="n">
        <f aca="false">Calculator!$B$5-P99-U99-V99</f>
        <v>349582.5</v>
      </c>
      <c r="X99" s="11" t="n">
        <f aca="false">'Tax Tables'!$B$22*(MAX(W99,0)-IF(Calculator!$B$10="Yes",MIN(MAX(W99,0),'Tax Tables'!$B$27)*'Tax Tables'!$B$28+MIN(MAX(MAX(W99,0)-'Tax Tables'!$B$27,0),'Tax Tables'!$B$29)*'Tax Tables'!$B$30,MIN(MAX(W99,0),'Tax Tables'!$B$23)*'Tax Tables'!$B$24+MIN(MAX(MAX(W99,0)-'Tax Tables'!$B$23,0),'Tax Tables'!$B$25)*'Tax Tables'!$B$26))*1-MIN('Tax Tables'!$B$22*(MAX(W99,0)-IF(Calculator!$B$10="Yes",MIN(MAX(W99,0),'Tax Tables'!$B$27)*'Tax Tables'!$B$28+MIN(MAX(MAX(W99,0)-'Tax Tables'!$B$27,0),'Tax Tables'!$B$29)*'Tax Tables'!$B$30,MIN(MAX(W99,0),'Tax Tables'!$B$23)*'Tax Tables'!$B$24+MIN(MAX(MAX(W99,0)-'Tax Tables'!$B$23,0),'Tax Tables'!$B$25)*'Tax Tables'!$B$26))*Calculator!$B$11,Calculator!$B$12)</f>
        <v>42004.025</v>
      </c>
      <c r="Y99" s="11" t="n">
        <f aca="false">MAX(W99,0)-X99</f>
        <v>307578.475</v>
      </c>
      <c r="Z99" s="11" t="n">
        <f aca="false">MIN(IF(P99&gt;0,Calculator!$B$13,0)+T99+Calculator!$B$14,'Tax Tables'!$B$36)</f>
        <v>9600</v>
      </c>
      <c r="AA99" s="11" t="n">
        <f aca="false">MAX(P99-Z99,0)</f>
        <v>33400</v>
      </c>
      <c r="AB99" s="11" t="n">
        <f aca="false">SUMPRODUCT((AA99&gt;'Tax Tables'!$A$5:$A$17)*(AA99-'Tax Tables'!$A$5:$A$17)*'Tax Tables'!$C$5:$C$17)</f>
        <v>319</v>
      </c>
      <c r="AC99" s="11" t="n">
        <f aca="false">IF(W99&lt;0,-1E+099,P99-T99-AB99+Y99+(T99+U99)*Calculator!$B$9)</f>
        <v>357569.475</v>
      </c>
    </row>
    <row r="100" customFormat="false" ht="15" hidden="false" customHeight="false" outlineLevel="0" collapsed="false">
      <c r="A100" s="11" t="n">
        <f aca="false">87*$B$3</f>
        <v>43500</v>
      </c>
      <c r="B100" s="11" t="n">
        <f aca="false">0</f>
        <v>0</v>
      </c>
      <c r="C100" s="11" t="n">
        <f aca="false">A100-B100</f>
        <v>43500</v>
      </c>
      <c r="D100" s="11" t="n">
        <f aca="false">IF(Calculator!$B$6="Yes",MIN(B100,'Tax Tables'!$B$31*'Tax Tables'!$B$32),0)</f>
        <v>0</v>
      </c>
      <c r="E100" s="11" t="n">
        <f aca="false">D100*Calculator!$B$7</f>
        <v>0</v>
      </c>
      <c r="F100" s="11" t="n">
        <f aca="false">D100*Calculator!$B$8</f>
        <v>0</v>
      </c>
      <c r="G100" s="11" t="n">
        <f aca="false">IF(B100&gt;0,'Tax Tables'!$B$32*MIN(MAX(B100/'Tax Tables'!$B$32*'Tax Tables'!$B$33,'Tax Tables'!$B$34),'Tax Tables'!$B$35),0)</f>
        <v>0</v>
      </c>
      <c r="H100" s="11" t="n">
        <f aca="false">Calculator!$B$5-A100-F100-G100</f>
        <v>356500</v>
      </c>
      <c r="I100" s="11" t="n">
        <f aca="false">'Tax Tables'!$B$22*(MAX(H100,0)-IF(Calculator!$B$10="Yes",MIN(MAX(H100,0),'Tax Tables'!$B$27)*'Tax Tables'!$B$28+MIN(MAX(MAX(H100,0)-'Tax Tables'!$B$27,0),'Tax Tables'!$B$29)*'Tax Tables'!$B$30,MIN(MAX(H100,0),'Tax Tables'!$B$23)*'Tax Tables'!$B$24+MIN(MAX(MAX(H100,0)-'Tax Tables'!$B$23,0),'Tax Tables'!$B$25)*'Tax Tables'!$B$26))*1-MIN('Tax Tables'!$B$22*(MAX(H100,0)-IF(Calculator!$B$10="Yes",MIN(MAX(H100,0),'Tax Tables'!$B$27)*'Tax Tables'!$B$28+MIN(MAX(MAX(H100,0)-'Tax Tables'!$B$27,0),'Tax Tables'!$B$29)*'Tax Tables'!$B$30,MIN(MAX(H100,0),'Tax Tables'!$B$23)*'Tax Tables'!$B$24+MIN(MAX(MAX(H100,0)-'Tax Tables'!$B$23,0),'Tax Tables'!$B$25)*'Tax Tables'!$B$26))*Calculator!$B$11,Calculator!$B$12)</f>
        <v>43180</v>
      </c>
      <c r="J100" s="11" t="n">
        <f aca="false">MAX(H100,0)-I100</f>
        <v>313320</v>
      </c>
      <c r="K100" s="11" t="n">
        <f aca="false">MIN(IF(A100&gt;0,Calculator!$B$13,0)+E100+Calculator!$B$14,'Tax Tables'!$B$36)</f>
        <v>1000</v>
      </c>
      <c r="L100" s="11" t="n">
        <f aca="false">MAX(A100-K100,0)</f>
        <v>42500</v>
      </c>
      <c r="M100" s="11" t="n">
        <f aca="false">SUMPRODUCT((L100&gt;'Tax Tables'!$A$5:$A$17)*(L100-'Tax Tables'!$A$5:$A$17)*'Tax Tables'!$C$5:$C$17)</f>
        <v>725</v>
      </c>
      <c r="N100" s="11" t="n">
        <f aca="false">IF(H100&lt;0,-1E+099,A100-E100-M100+J100+(E100+F100)*Calculator!$B$9)</f>
        <v>356095</v>
      </c>
      <c r="O100" s="2"/>
      <c r="P100" s="11" t="n">
        <f aca="false">87*$B$3</f>
        <v>43500</v>
      </c>
      <c r="Q100" s="11" t="n">
        <f aca="false">MIN(P100,'Tax Tables'!$B$31*'Tax Tables'!$B$32)</f>
        <v>43500</v>
      </c>
      <c r="R100" s="11" t="n">
        <f aca="false">P100-Q100</f>
        <v>0</v>
      </c>
      <c r="S100" s="11" t="n">
        <f aca="false">IF(Calculator!$B$6="Yes",MIN(Q100,'Tax Tables'!$B$31*'Tax Tables'!$B$32),0)</f>
        <v>43500</v>
      </c>
      <c r="T100" s="11" t="n">
        <f aca="false">S100*Calculator!$B$7</f>
        <v>8700</v>
      </c>
      <c r="U100" s="11" t="n">
        <f aca="false">S100*Calculator!$B$8</f>
        <v>7395</v>
      </c>
      <c r="V100" s="11" t="n">
        <f aca="false">IF(Q100&gt;0,'Tax Tables'!$B$32*MIN(MAX(Q100/'Tax Tables'!$B$32*'Tax Tables'!$B$33,'Tax Tables'!$B$34),'Tax Tables'!$B$35),0)</f>
        <v>108.75</v>
      </c>
      <c r="W100" s="11" t="n">
        <f aca="false">Calculator!$B$5-P100-U100-V100</f>
        <v>348996.25</v>
      </c>
      <c r="X100" s="11" t="n">
        <f aca="false">'Tax Tables'!$B$22*(MAX(W100,0)-IF(Calculator!$B$10="Yes",MIN(MAX(W100,0),'Tax Tables'!$B$27)*'Tax Tables'!$B$28+MIN(MAX(MAX(W100,0)-'Tax Tables'!$B$27,0),'Tax Tables'!$B$29)*'Tax Tables'!$B$30,MIN(MAX(W100,0),'Tax Tables'!$B$23)*'Tax Tables'!$B$24+MIN(MAX(MAX(W100,0)-'Tax Tables'!$B$23,0),'Tax Tables'!$B$25)*'Tax Tables'!$B$26))*1-MIN('Tax Tables'!$B$22*(MAX(W100,0)-IF(Calculator!$B$10="Yes",MIN(MAX(W100,0),'Tax Tables'!$B$27)*'Tax Tables'!$B$28+MIN(MAX(MAX(W100,0)-'Tax Tables'!$B$27,0),'Tax Tables'!$B$29)*'Tax Tables'!$B$30,MIN(MAX(W100,0),'Tax Tables'!$B$23)*'Tax Tables'!$B$24+MIN(MAX(MAX(W100,0)-'Tax Tables'!$B$23,0),'Tax Tables'!$B$25)*'Tax Tables'!$B$26))*Calculator!$B$11,Calculator!$B$12)</f>
        <v>41904.3625</v>
      </c>
      <c r="Y100" s="11" t="n">
        <f aca="false">MAX(W100,0)-X100</f>
        <v>307091.8875</v>
      </c>
      <c r="Z100" s="11" t="n">
        <f aca="false">MIN(IF(P100&gt;0,Calculator!$B$13,0)+T100+Calculator!$B$14,'Tax Tables'!$B$36)</f>
        <v>9700</v>
      </c>
      <c r="AA100" s="11" t="n">
        <f aca="false">MAX(P100-Z100,0)</f>
        <v>33800</v>
      </c>
      <c r="AB100" s="11" t="n">
        <f aca="false">SUMPRODUCT((AA100&gt;'Tax Tables'!$A$5:$A$17)*(AA100-'Tax Tables'!$A$5:$A$17)*'Tax Tables'!$C$5:$C$17)</f>
        <v>333</v>
      </c>
      <c r="AC100" s="11" t="n">
        <f aca="false">IF(W100&lt;0,-1E+099,P100-T100-AB100+Y100+(T100+U100)*Calculator!$B$9)</f>
        <v>357653.8875</v>
      </c>
    </row>
    <row r="101" customFormat="false" ht="15" hidden="false" customHeight="false" outlineLevel="0" collapsed="false">
      <c r="A101" s="11" t="n">
        <f aca="false">88*$B$3</f>
        <v>44000</v>
      </c>
      <c r="B101" s="11" t="n">
        <f aca="false">0</f>
        <v>0</v>
      </c>
      <c r="C101" s="11" t="n">
        <f aca="false">A101-B101</f>
        <v>44000</v>
      </c>
      <c r="D101" s="11" t="n">
        <f aca="false">IF(Calculator!$B$6="Yes",MIN(B101,'Tax Tables'!$B$31*'Tax Tables'!$B$32),0)</f>
        <v>0</v>
      </c>
      <c r="E101" s="11" t="n">
        <f aca="false">D101*Calculator!$B$7</f>
        <v>0</v>
      </c>
      <c r="F101" s="11" t="n">
        <f aca="false">D101*Calculator!$B$8</f>
        <v>0</v>
      </c>
      <c r="G101" s="11" t="n">
        <f aca="false">IF(B101&gt;0,'Tax Tables'!$B$32*MIN(MAX(B101/'Tax Tables'!$B$32*'Tax Tables'!$B$33,'Tax Tables'!$B$34),'Tax Tables'!$B$35),0)</f>
        <v>0</v>
      </c>
      <c r="H101" s="11" t="n">
        <f aca="false">Calculator!$B$5-A101-F101-G101</f>
        <v>356000</v>
      </c>
      <c r="I101" s="11" t="n">
        <f aca="false">'Tax Tables'!$B$22*(MAX(H101,0)-IF(Calculator!$B$10="Yes",MIN(MAX(H101,0),'Tax Tables'!$B$27)*'Tax Tables'!$B$28+MIN(MAX(MAX(H101,0)-'Tax Tables'!$B$27,0),'Tax Tables'!$B$29)*'Tax Tables'!$B$30,MIN(MAX(H101,0),'Tax Tables'!$B$23)*'Tax Tables'!$B$24+MIN(MAX(MAX(H101,0)-'Tax Tables'!$B$23,0),'Tax Tables'!$B$25)*'Tax Tables'!$B$26))*1-MIN('Tax Tables'!$B$22*(MAX(H101,0)-IF(Calculator!$B$10="Yes",MIN(MAX(H101,0),'Tax Tables'!$B$27)*'Tax Tables'!$B$28+MIN(MAX(MAX(H101,0)-'Tax Tables'!$B$27,0),'Tax Tables'!$B$29)*'Tax Tables'!$B$30,MIN(MAX(H101,0),'Tax Tables'!$B$23)*'Tax Tables'!$B$24+MIN(MAX(MAX(H101,0)-'Tax Tables'!$B$23,0),'Tax Tables'!$B$25)*'Tax Tables'!$B$26))*Calculator!$B$11,Calculator!$B$12)</f>
        <v>43095</v>
      </c>
      <c r="J101" s="11" t="n">
        <f aca="false">MAX(H101,0)-I101</f>
        <v>312905</v>
      </c>
      <c r="K101" s="11" t="n">
        <f aca="false">MIN(IF(A101&gt;0,Calculator!$B$13,0)+E101+Calculator!$B$14,'Tax Tables'!$B$36)</f>
        <v>1000</v>
      </c>
      <c r="L101" s="11" t="n">
        <f aca="false">MAX(A101-K101,0)</f>
        <v>43000</v>
      </c>
      <c r="M101" s="11" t="n">
        <f aca="false">SUMPRODUCT((L101&gt;'Tax Tables'!$A$5:$A$17)*(L101-'Tax Tables'!$A$5:$A$17)*'Tax Tables'!$C$5:$C$17)</f>
        <v>760</v>
      </c>
      <c r="N101" s="11" t="n">
        <f aca="false">IF(H101&lt;0,-1E+099,A101-E101-M101+J101+(E101+F101)*Calculator!$B$9)</f>
        <v>356145</v>
      </c>
      <c r="O101" s="2"/>
      <c r="P101" s="11" t="n">
        <f aca="false">88*$B$3</f>
        <v>44000</v>
      </c>
      <c r="Q101" s="11" t="n">
        <f aca="false">MIN(P101,'Tax Tables'!$B$31*'Tax Tables'!$B$32)</f>
        <v>44000</v>
      </c>
      <c r="R101" s="11" t="n">
        <f aca="false">P101-Q101</f>
        <v>0</v>
      </c>
      <c r="S101" s="11" t="n">
        <f aca="false">IF(Calculator!$B$6="Yes",MIN(Q101,'Tax Tables'!$B$31*'Tax Tables'!$B$32),0)</f>
        <v>44000</v>
      </c>
      <c r="T101" s="11" t="n">
        <f aca="false">S101*Calculator!$B$7</f>
        <v>8800</v>
      </c>
      <c r="U101" s="11" t="n">
        <f aca="false">S101*Calculator!$B$8</f>
        <v>7480</v>
      </c>
      <c r="V101" s="11" t="n">
        <f aca="false">IF(Q101&gt;0,'Tax Tables'!$B$32*MIN(MAX(Q101/'Tax Tables'!$B$32*'Tax Tables'!$B$33,'Tax Tables'!$B$34),'Tax Tables'!$B$35),0)</f>
        <v>110</v>
      </c>
      <c r="W101" s="11" t="n">
        <f aca="false">Calculator!$B$5-P101-U101-V101</f>
        <v>348410</v>
      </c>
      <c r="X101" s="11" t="n">
        <f aca="false">'Tax Tables'!$B$22*(MAX(W101,0)-IF(Calculator!$B$10="Yes",MIN(MAX(W101,0),'Tax Tables'!$B$27)*'Tax Tables'!$B$28+MIN(MAX(MAX(W101,0)-'Tax Tables'!$B$27,0),'Tax Tables'!$B$29)*'Tax Tables'!$B$30,MIN(MAX(W101,0),'Tax Tables'!$B$23)*'Tax Tables'!$B$24+MIN(MAX(MAX(W101,0)-'Tax Tables'!$B$23,0),'Tax Tables'!$B$25)*'Tax Tables'!$B$26))*1-MIN('Tax Tables'!$B$22*(MAX(W101,0)-IF(Calculator!$B$10="Yes",MIN(MAX(W101,0),'Tax Tables'!$B$27)*'Tax Tables'!$B$28+MIN(MAX(MAX(W101,0)-'Tax Tables'!$B$27,0),'Tax Tables'!$B$29)*'Tax Tables'!$B$30,MIN(MAX(W101,0),'Tax Tables'!$B$23)*'Tax Tables'!$B$24+MIN(MAX(MAX(W101,0)-'Tax Tables'!$B$23,0),'Tax Tables'!$B$25)*'Tax Tables'!$B$26))*Calculator!$B$11,Calculator!$B$12)</f>
        <v>41804.7</v>
      </c>
      <c r="Y101" s="11" t="n">
        <f aca="false">MAX(W101,0)-X101</f>
        <v>306605.3</v>
      </c>
      <c r="Z101" s="11" t="n">
        <f aca="false">MIN(IF(P101&gt;0,Calculator!$B$13,0)+T101+Calculator!$B$14,'Tax Tables'!$B$36)</f>
        <v>9800</v>
      </c>
      <c r="AA101" s="11" t="n">
        <f aca="false">MAX(P101-Z101,0)</f>
        <v>34200</v>
      </c>
      <c r="AB101" s="11" t="n">
        <f aca="false">SUMPRODUCT((AA101&gt;'Tax Tables'!$A$5:$A$17)*(AA101-'Tax Tables'!$A$5:$A$17)*'Tax Tables'!$C$5:$C$17)</f>
        <v>347</v>
      </c>
      <c r="AC101" s="11" t="n">
        <f aca="false">IF(W101&lt;0,-1E+099,P101-T101-AB101+Y101+(T101+U101)*Calculator!$B$9)</f>
        <v>357738.3</v>
      </c>
    </row>
    <row r="102" customFormat="false" ht="15" hidden="false" customHeight="false" outlineLevel="0" collapsed="false">
      <c r="A102" s="11" t="n">
        <f aca="false">89*$B$3</f>
        <v>44500</v>
      </c>
      <c r="B102" s="11" t="n">
        <f aca="false">0</f>
        <v>0</v>
      </c>
      <c r="C102" s="11" t="n">
        <f aca="false">A102-B102</f>
        <v>44500</v>
      </c>
      <c r="D102" s="11" t="n">
        <f aca="false">IF(Calculator!$B$6="Yes",MIN(B102,'Tax Tables'!$B$31*'Tax Tables'!$B$32),0)</f>
        <v>0</v>
      </c>
      <c r="E102" s="11" t="n">
        <f aca="false">D102*Calculator!$B$7</f>
        <v>0</v>
      </c>
      <c r="F102" s="11" t="n">
        <f aca="false">D102*Calculator!$B$8</f>
        <v>0</v>
      </c>
      <c r="G102" s="11" t="n">
        <f aca="false">IF(B102&gt;0,'Tax Tables'!$B$32*MIN(MAX(B102/'Tax Tables'!$B$32*'Tax Tables'!$B$33,'Tax Tables'!$B$34),'Tax Tables'!$B$35),0)</f>
        <v>0</v>
      </c>
      <c r="H102" s="11" t="n">
        <f aca="false">Calculator!$B$5-A102-F102-G102</f>
        <v>355500</v>
      </c>
      <c r="I102" s="11" t="n">
        <f aca="false">'Tax Tables'!$B$22*(MAX(H102,0)-IF(Calculator!$B$10="Yes",MIN(MAX(H102,0),'Tax Tables'!$B$27)*'Tax Tables'!$B$28+MIN(MAX(MAX(H102,0)-'Tax Tables'!$B$27,0),'Tax Tables'!$B$29)*'Tax Tables'!$B$30,MIN(MAX(H102,0),'Tax Tables'!$B$23)*'Tax Tables'!$B$24+MIN(MAX(MAX(H102,0)-'Tax Tables'!$B$23,0),'Tax Tables'!$B$25)*'Tax Tables'!$B$26))*1-MIN('Tax Tables'!$B$22*(MAX(H102,0)-IF(Calculator!$B$10="Yes",MIN(MAX(H102,0),'Tax Tables'!$B$27)*'Tax Tables'!$B$28+MIN(MAX(MAX(H102,0)-'Tax Tables'!$B$27,0),'Tax Tables'!$B$29)*'Tax Tables'!$B$30,MIN(MAX(H102,0),'Tax Tables'!$B$23)*'Tax Tables'!$B$24+MIN(MAX(MAX(H102,0)-'Tax Tables'!$B$23,0),'Tax Tables'!$B$25)*'Tax Tables'!$B$26))*Calculator!$B$11,Calculator!$B$12)</f>
        <v>43010</v>
      </c>
      <c r="J102" s="11" t="n">
        <f aca="false">MAX(H102,0)-I102</f>
        <v>312490</v>
      </c>
      <c r="K102" s="11" t="n">
        <f aca="false">MIN(IF(A102&gt;0,Calculator!$B$13,0)+E102+Calculator!$B$14,'Tax Tables'!$B$36)</f>
        <v>1000</v>
      </c>
      <c r="L102" s="11" t="n">
        <f aca="false">MAX(A102-K102,0)</f>
        <v>43500</v>
      </c>
      <c r="M102" s="11" t="n">
        <f aca="false">SUMPRODUCT((L102&gt;'Tax Tables'!$A$5:$A$17)*(L102-'Tax Tables'!$A$5:$A$17)*'Tax Tables'!$C$5:$C$17)</f>
        <v>795</v>
      </c>
      <c r="N102" s="11" t="n">
        <f aca="false">IF(H102&lt;0,-1E+099,A102-E102-M102+J102+(E102+F102)*Calculator!$B$9)</f>
        <v>356195</v>
      </c>
      <c r="O102" s="2"/>
      <c r="P102" s="11" t="n">
        <f aca="false">89*$B$3</f>
        <v>44500</v>
      </c>
      <c r="Q102" s="11" t="n">
        <f aca="false">MIN(P102,'Tax Tables'!$B$31*'Tax Tables'!$B$32)</f>
        <v>44500</v>
      </c>
      <c r="R102" s="11" t="n">
        <f aca="false">P102-Q102</f>
        <v>0</v>
      </c>
      <c r="S102" s="11" t="n">
        <f aca="false">IF(Calculator!$B$6="Yes",MIN(Q102,'Tax Tables'!$B$31*'Tax Tables'!$B$32),0)</f>
        <v>44500</v>
      </c>
      <c r="T102" s="11" t="n">
        <f aca="false">S102*Calculator!$B$7</f>
        <v>8900</v>
      </c>
      <c r="U102" s="11" t="n">
        <f aca="false">S102*Calculator!$B$8</f>
        <v>7565</v>
      </c>
      <c r="V102" s="11" t="n">
        <f aca="false">IF(Q102&gt;0,'Tax Tables'!$B$32*MIN(MAX(Q102/'Tax Tables'!$B$32*'Tax Tables'!$B$33,'Tax Tables'!$B$34),'Tax Tables'!$B$35),0)</f>
        <v>111.25</v>
      </c>
      <c r="W102" s="11" t="n">
        <f aca="false">Calculator!$B$5-P102-U102-V102</f>
        <v>347823.75</v>
      </c>
      <c r="X102" s="11" t="n">
        <f aca="false">'Tax Tables'!$B$22*(MAX(W102,0)-IF(Calculator!$B$10="Yes",MIN(MAX(W102,0),'Tax Tables'!$B$27)*'Tax Tables'!$B$28+MIN(MAX(MAX(W102,0)-'Tax Tables'!$B$27,0),'Tax Tables'!$B$29)*'Tax Tables'!$B$30,MIN(MAX(W102,0),'Tax Tables'!$B$23)*'Tax Tables'!$B$24+MIN(MAX(MAX(W102,0)-'Tax Tables'!$B$23,0),'Tax Tables'!$B$25)*'Tax Tables'!$B$26))*1-MIN('Tax Tables'!$B$22*(MAX(W102,0)-IF(Calculator!$B$10="Yes",MIN(MAX(W102,0),'Tax Tables'!$B$27)*'Tax Tables'!$B$28+MIN(MAX(MAX(W102,0)-'Tax Tables'!$B$27,0),'Tax Tables'!$B$29)*'Tax Tables'!$B$30,MIN(MAX(W102,0),'Tax Tables'!$B$23)*'Tax Tables'!$B$24+MIN(MAX(MAX(W102,0)-'Tax Tables'!$B$23,0),'Tax Tables'!$B$25)*'Tax Tables'!$B$26))*Calculator!$B$11,Calculator!$B$12)</f>
        <v>41705.0375</v>
      </c>
      <c r="Y102" s="11" t="n">
        <f aca="false">MAX(W102,0)-X102</f>
        <v>306118.7125</v>
      </c>
      <c r="Z102" s="11" t="n">
        <f aca="false">MIN(IF(P102&gt;0,Calculator!$B$13,0)+T102+Calculator!$B$14,'Tax Tables'!$B$36)</f>
        <v>9900</v>
      </c>
      <c r="AA102" s="11" t="n">
        <f aca="false">MAX(P102-Z102,0)</f>
        <v>34600</v>
      </c>
      <c r="AB102" s="11" t="n">
        <f aca="false">SUMPRODUCT((AA102&gt;'Tax Tables'!$A$5:$A$17)*(AA102-'Tax Tables'!$A$5:$A$17)*'Tax Tables'!$C$5:$C$17)</f>
        <v>361</v>
      </c>
      <c r="AC102" s="11" t="n">
        <f aca="false">IF(W102&lt;0,-1E+099,P102-T102-AB102+Y102+(T102+U102)*Calculator!$B$9)</f>
        <v>357822.7125</v>
      </c>
    </row>
    <row r="103" customFormat="false" ht="15" hidden="false" customHeight="false" outlineLevel="0" collapsed="false">
      <c r="A103" s="11" t="n">
        <f aca="false">90*$B$3</f>
        <v>45000</v>
      </c>
      <c r="B103" s="11" t="n">
        <f aca="false">0</f>
        <v>0</v>
      </c>
      <c r="C103" s="11" t="n">
        <f aca="false">A103-B103</f>
        <v>45000</v>
      </c>
      <c r="D103" s="11" t="n">
        <f aca="false">IF(Calculator!$B$6="Yes",MIN(B103,'Tax Tables'!$B$31*'Tax Tables'!$B$32),0)</f>
        <v>0</v>
      </c>
      <c r="E103" s="11" t="n">
        <f aca="false">D103*Calculator!$B$7</f>
        <v>0</v>
      </c>
      <c r="F103" s="11" t="n">
        <f aca="false">D103*Calculator!$B$8</f>
        <v>0</v>
      </c>
      <c r="G103" s="11" t="n">
        <f aca="false">IF(B103&gt;0,'Tax Tables'!$B$32*MIN(MAX(B103/'Tax Tables'!$B$32*'Tax Tables'!$B$33,'Tax Tables'!$B$34),'Tax Tables'!$B$35),0)</f>
        <v>0</v>
      </c>
      <c r="H103" s="11" t="n">
        <f aca="false">Calculator!$B$5-A103-F103-G103</f>
        <v>355000</v>
      </c>
      <c r="I103" s="11" t="n">
        <f aca="false">'Tax Tables'!$B$22*(MAX(H103,0)-IF(Calculator!$B$10="Yes",MIN(MAX(H103,0),'Tax Tables'!$B$27)*'Tax Tables'!$B$28+MIN(MAX(MAX(H103,0)-'Tax Tables'!$B$27,0),'Tax Tables'!$B$29)*'Tax Tables'!$B$30,MIN(MAX(H103,0),'Tax Tables'!$B$23)*'Tax Tables'!$B$24+MIN(MAX(MAX(H103,0)-'Tax Tables'!$B$23,0),'Tax Tables'!$B$25)*'Tax Tables'!$B$26))*1-MIN('Tax Tables'!$B$22*(MAX(H103,0)-IF(Calculator!$B$10="Yes",MIN(MAX(H103,0),'Tax Tables'!$B$27)*'Tax Tables'!$B$28+MIN(MAX(MAX(H103,0)-'Tax Tables'!$B$27,0),'Tax Tables'!$B$29)*'Tax Tables'!$B$30,MIN(MAX(H103,0),'Tax Tables'!$B$23)*'Tax Tables'!$B$24+MIN(MAX(MAX(H103,0)-'Tax Tables'!$B$23,0),'Tax Tables'!$B$25)*'Tax Tables'!$B$26))*Calculator!$B$11,Calculator!$B$12)</f>
        <v>42925</v>
      </c>
      <c r="J103" s="11" t="n">
        <f aca="false">MAX(H103,0)-I103</f>
        <v>312075</v>
      </c>
      <c r="K103" s="11" t="n">
        <f aca="false">MIN(IF(A103&gt;0,Calculator!$B$13,0)+E103+Calculator!$B$14,'Tax Tables'!$B$36)</f>
        <v>1000</v>
      </c>
      <c r="L103" s="11" t="n">
        <f aca="false">MAX(A103-K103,0)</f>
        <v>44000</v>
      </c>
      <c r="M103" s="11" t="n">
        <f aca="false">SUMPRODUCT((L103&gt;'Tax Tables'!$A$5:$A$17)*(L103-'Tax Tables'!$A$5:$A$17)*'Tax Tables'!$C$5:$C$17)</f>
        <v>830</v>
      </c>
      <c r="N103" s="11" t="n">
        <f aca="false">IF(H103&lt;0,-1E+099,A103-E103-M103+J103+(E103+F103)*Calculator!$B$9)</f>
        <v>356245</v>
      </c>
      <c r="O103" s="2"/>
      <c r="P103" s="11" t="n">
        <f aca="false">90*$B$3</f>
        <v>45000</v>
      </c>
      <c r="Q103" s="11" t="n">
        <f aca="false">MIN(P103,'Tax Tables'!$B$31*'Tax Tables'!$B$32)</f>
        <v>45000</v>
      </c>
      <c r="R103" s="11" t="n">
        <f aca="false">P103-Q103</f>
        <v>0</v>
      </c>
      <c r="S103" s="11" t="n">
        <f aca="false">IF(Calculator!$B$6="Yes",MIN(Q103,'Tax Tables'!$B$31*'Tax Tables'!$B$32),0)</f>
        <v>45000</v>
      </c>
      <c r="T103" s="11" t="n">
        <f aca="false">S103*Calculator!$B$7</f>
        <v>9000</v>
      </c>
      <c r="U103" s="11" t="n">
        <f aca="false">S103*Calculator!$B$8</f>
        <v>7650</v>
      </c>
      <c r="V103" s="11" t="n">
        <f aca="false">IF(Q103&gt;0,'Tax Tables'!$B$32*MIN(MAX(Q103/'Tax Tables'!$B$32*'Tax Tables'!$B$33,'Tax Tables'!$B$34),'Tax Tables'!$B$35),0)</f>
        <v>112.5</v>
      </c>
      <c r="W103" s="11" t="n">
        <f aca="false">Calculator!$B$5-P103-U103-V103</f>
        <v>347237.5</v>
      </c>
      <c r="X103" s="11" t="n">
        <f aca="false">'Tax Tables'!$B$22*(MAX(W103,0)-IF(Calculator!$B$10="Yes",MIN(MAX(W103,0),'Tax Tables'!$B$27)*'Tax Tables'!$B$28+MIN(MAX(MAX(W103,0)-'Tax Tables'!$B$27,0),'Tax Tables'!$B$29)*'Tax Tables'!$B$30,MIN(MAX(W103,0),'Tax Tables'!$B$23)*'Tax Tables'!$B$24+MIN(MAX(MAX(W103,0)-'Tax Tables'!$B$23,0),'Tax Tables'!$B$25)*'Tax Tables'!$B$26))*1-MIN('Tax Tables'!$B$22*(MAX(W103,0)-IF(Calculator!$B$10="Yes",MIN(MAX(W103,0),'Tax Tables'!$B$27)*'Tax Tables'!$B$28+MIN(MAX(MAX(W103,0)-'Tax Tables'!$B$27,0),'Tax Tables'!$B$29)*'Tax Tables'!$B$30,MIN(MAX(W103,0),'Tax Tables'!$B$23)*'Tax Tables'!$B$24+MIN(MAX(MAX(W103,0)-'Tax Tables'!$B$23,0),'Tax Tables'!$B$25)*'Tax Tables'!$B$26))*Calculator!$B$11,Calculator!$B$12)</f>
        <v>41605.375</v>
      </c>
      <c r="Y103" s="11" t="n">
        <f aca="false">MAX(W103,0)-X103</f>
        <v>305632.125</v>
      </c>
      <c r="Z103" s="11" t="n">
        <f aca="false">MIN(IF(P103&gt;0,Calculator!$B$13,0)+T103+Calculator!$B$14,'Tax Tables'!$B$36)</f>
        <v>10000</v>
      </c>
      <c r="AA103" s="11" t="n">
        <f aca="false">MAX(P103-Z103,0)</f>
        <v>35000</v>
      </c>
      <c r="AB103" s="11" t="n">
        <f aca="false">SUMPRODUCT((AA103&gt;'Tax Tables'!$A$5:$A$17)*(AA103-'Tax Tables'!$A$5:$A$17)*'Tax Tables'!$C$5:$C$17)</f>
        <v>375</v>
      </c>
      <c r="AC103" s="11" t="n">
        <f aca="false">IF(W103&lt;0,-1E+099,P103-T103-AB103+Y103+(T103+U103)*Calculator!$B$9)</f>
        <v>357907.125</v>
      </c>
    </row>
    <row r="104" customFormat="false" ht="15" hidden="false" customHeight="false" outlineLevel="0" collapsed="false">
      <c r="A104" s="11" t="n">
        <f aca="false">91*$B$3</f>
        <v>45500</v>
      </c>
      <c r="B104" s="11" t="n">
        <f aca="false">0</f>
        <v>0</v>
      </c>
      <c r="C104" s="11" t="n">
        <f aca="false">A104-B104</f>
        <v>45500</v>
      </c>
      <c r="D104" s="11" t="n">
        <f aca="false">IF(Calculator!$B$6="Yes",MIN(B104,'Tax Tables'!$B$31*'Tax Tables'!$B$32),0)</f>
        <v>0</v>
      </c>
      <c r="E104" s="11" t="n">
        <f aca="false">D104*Calculator!$B$7</f>
        <v>0</v>
      </c>
      <c r="F104" s="11" t="n">
        <f aca="false">D104*Calculator!$B$8</f>
        <v>0</v>
      </c>
      <c r="G104" s="11" t="n">
        <f aca="false">IF(B104&gt;0,'Tax Tables'!$B$32*MIN(MAX(B104/'Tax Tables'!$B$32*'Tax Tables'!$B$33,'Tax Tables'!$B$34),'Tax Tables'!$B$35),0)</f>
        <v>0</v>
      </c>
      <c r="H104" s="11" t="n">
        <f aca="false">Calculator!$B$5-A104-F104-G104</f>
        <v>354500</v>
      </c>
      <c r="I104" s="11" t="n">
        <f aca="false">'Tax Tables'!$B$22*(MAX(H104,0)-IF(Calculator!$B$10="Yes",MIN(MAX(H104,0),'Tax Tables'!$B$27)*'Tax Tables'!$B$28+MIN(MAX(MAX(H104,0)-'Tax Tables'!$B$27,0),'Tax Tables'!$B$29)*'Tax Tables'!$B$30,MIN(MAX(H104,0),'Tax Tables'!$B$23)*'Tax Tables'!$B$24+MIN(MAX(MAX(H104,0)-'Tax Tables'!$B$23,0),'Tax Tables'!$B$25)*'Tax Tables'!$B$26))*1-MIN('Tax Tables'!$B$22*(MAX(H104,0)-IF(Calculator!$B$10="Yes",MIN(MAX(H104,0),'Tax Tables'!$B$27)*'Tax Tables'!$B$28+MIN(MAX(MAX(H104,0)-'Tax Tables'!$B$27,0),'Tax Tables'!$B$29)*'Tax Tables'!$B$30,MIN(MAX(H104,0),'Tax Tables'!$B$23)*'Tax Tables'!$B$24+MIN(MAX(MAX(H104,0)-'Tax Tables'!$B$23,0),'Tax Tables'!$B$25)*'Tax Tables'!$B$26))*Calculator!$B$11,Calculator!$B$12)</f>
        <v>42840</v>
      </c>
      <c r="J104" s="11" t="n">
        <f aca="false">MAX(H104,0)-I104</f>
        <v>311660</v>
      </c>
      <c r="K104" s="11" t="n">
        <f aca="false">MIN(IF(A104&gt;0,Calculator!$B$13,0)+E104+Calculator!$B$14,'Tax Tables'!$B$36)</f>
        <v>1000</v>
      </c>
      <c r="L104" s="11" t="n">
        <f aca="false">MAX(A104-K104,0)</f>
        <v>44500</v>
      </c>
      <c r="M104" s="11" t="n">
        <f aca="false">SUMPRODUCT((L104&gt;'Tax Tables'!$A$5:$A$17)*(L104-'Tax Tables'!$A$5:$A$17)*'Tax Tables'!$C$5:$C$17)</f>
        <v>865</v>
      </c>
      <c r="N104" s="11" t="n">
        <f aca="false">IF(H104&lt;0,-1E+099,A104-E104-M104+J104+(E104+F104)*Calculator!$B$9)</f>
        <v>356295</v>
      </c>
      <c r="O104" s="2"/>
      <c r="P104" s="11" t="n">
        <f aca="false">91*$B$3</f>
        <v>45500</v>
      </c>
      <c r="Q104" s="11" t="n">
        <f aca="false">MIN(P104,'Tax Tables'!$B$31*'Tax Tables'!$B$32)</f>
        <v>45500</v>
      </c>
      <c r="R104" s="11" t="n">
        <f aca="false">P104-Q104</f>
        <v>0</v>
      </c>
      <c r="S104" s="11" t="n">
        <f aca="false">IF(Calculator!$B$6="Yes",MIN(Q104,'Tax Tables'!$B$31*'Tax Tables'!$B$32),0)</f>
        <v>45500</v>
      </c>
      <c r="T104" s="11" t="n">
        <f aca="false">S104*Calculator!$B$7</f>
        <v>9100</v>
      </c>
      <c r="U104" s="11" t="n">
        <f aca="false">S104*Calculator!$B$8</f>
        <v>7735</v>
      </c>
      <c r="V104" s="11" t="n">
        <f aca="false">IF(Q104&gt;0,'Tax Tables'!$B$32*MIN(MAX(Q104/'Tax Tables'!$B$32*'Tax Tables'!$B$33,'Tax Tables'!$B$34),'Tax Tables'!$B$35),0)</f>
        <v>113.75</v>
      </c>
      <c r="W104" s="11" t="n">
        <f aca="false">Calculator!$B$5-P104-U104-V104</f>
        <v>346651.25</v>
      </c>
      <c r="X104" s="11" t="n">
        <f aca="false">'Tax Tables'!$B$22*(MAX(W104,0)-IF(Calculator!$B$10="Yes",MIN(MAX(W104,0),'Tax Tables'!$B$27)*'Tax Tables'!$B$28+MIN(MAX(MAX(W104,0)-'Tax Tables'!$B$27,0),'Tax Tables'!$B$29)*'Tax Tables'!$B$30,MIN(MAX(W104,0),'Tax Tables'!$B$23)*'Tax Tables'!$B$24+MIN(MAX(MAX(W104,0)-'Tax Tables'!$B$23,0),'Tax Tables'!$B$25)*'Tax Tables'!$B$26))*1-MIN('Tax Tables'!$B$22*(MAX(W104,0)-IF(Calculator!$B$10="Yes",MIN(MAX(W104,0),'Tax Tables'!$B$27)*'Tax Tables'!$B$28+MIN(MAX(MAX(W104,0)-'Tax Tables'!$B$27,0),'Tax Tables'!$B$29)*'Tax Tables'!$B$30,MIN(MAX(W104,0),'Tax Tables'!$B$23)*'Tax Tables'!$B$24+MIN(MAX(MAX(W104,0)-'Tax Tables'!$B$23,0),'Tax Tables'!$B$25)*'Tax Tables'!$B$26))*Calculator!$B$11,Calculator!$B$12)</f>
        <v>41505.7125</v>
      </c>
      <c r="Y104" s="11" t="n">
        <f aca="false">MAX(W104,0)-X104</f>
        <v>305145.5375</v>
      </c>
      <c r="Z104" s="11" t="n">
        <f aca="false">MIN(IF(P104&gt;0,Calculator!$B$13,0)+T104+Calculator!$B$14,'Tax Tables'!$B$36)</f>
        <v>10100</v>
      </c>
      <c r="AA104" s="11" t="n">
        <f aca="false">MAX(P104-Z104,0)</f>
        <v>35400</v>
      </c>
      <c r="AB104" s="11" t="n">
        <f aca="false">SUMPRODUCT((AA104&gt;'Tax Tables'!$A$5:$A$17)*(AA104-'Tax Tables'!$A$5:$A$17)*'Tax Tables'!$C$5:$C$17)</f>
        <v>389</v>
      </c>
      <c r="AC104" s="11" t="n">
        <f aca="false">IF(W104&lt;0,-1E+099,P104-T104-AB104+Y104+(T104+U104)*Calculator!$B$9)</f>
        <v>357991.5375</v>
      </c>
    </row>
    <row r="105" customFormat="false" ht="15" hidden="false" customHeight="false" outlineLevel="0" collapsed="false">
      <c r="A105" s="11" t="n">
        <f aca="false">92*$B$3</f>
        <v>46000</v>
      </c>
      <c r="B105" s="11" t="n">
        <f aca="false">0</f>
        <v>0</v>
      </c>
      <c r="C105" s="11" t="n">
        <f aca="false">A105-B105</f>
        <v>46000</v>
      </c>
      <c r="D105" s="11" t="n">
        <f aca="false">IF(Calculator!$B$6="Yes",MIN(B105,'Tax Tables'!$B$31*'Tax Tables'!$B$32),0)</f>
        <v>0</v>
      </c>
      <c r="E105" s="11" t="n">
        <f aca="false">D105*Calculator!$B$7</f>
        <v>0</v>
      </c>
      <c r="F105" s="11" t="n">
        <f aca="false">D105*Calculator!$B$8</f>
        <v>0</v>
      </c>
      <c r="G105" s="11" t="n">
        <f aca="false">IF(B105&gt;0,'Tax Tables'!$B$32*MIN(MAX(B105/'Tax Tables'!$B$32*'Tax Tables'!$B$33,'Tax Tables'!$B$34),'Tax Tables'!$B$35),0)</f>
        <v>0</v>
      </c>
      <c r="H105" s="11" t="n">
        <f aca="false">Calculator!$B$5-A105-F105-G105</f>
        <v>354000</v>
      </c>
      <c r="I105" s="11" t="n">
        <f aca="false">'Tax Tables'!$B$22*(MAX(H105,0)-IF(Calculator!$B$10="Yes",MIN(MAX(H105,0),'Tax Tables'!$B$27)*'Tax Tables'!$B$28+MIN(MAX(MAX(H105,0)-'Tax Tables'!$B$27,0),'Tax Tables'!$B$29)*'Tax Tables'!$B$30,MIN(MAX(H105,0),'Tax Tables'!$B$23)*'Tax Tables'!$B$24+MIN(MAX(MAX(H105,0)-'Tax Tables'!$B$23,0),'Tax Tables'!$B$25)*'Tax Tables'!$B$26))*1-MIN('Tax Tables'!$B$22*(MAX(H105,0)-IF(Calculator!$B$10="Yes",MIN(MAX(H105,0),'Tax Tables'!$B$27)*'Tax Tables'!$B$28+MIN(MAX(MAX(H105,0)-'Tax Tables'!$B$27,0),'Tax Tables'!$B$29)*'Tax Tables'!$B$30,MIN(MAX(H105,0),'Tax Tables'!$B$23)*'Tax Tables'!$B$24+MIN(MAX(MAX(H105,0)-'Tax Tables'!$B$23,0),'Tax Tables'!$B$25)*'Tax Tables'!$B$26))*Calculator!$B$11,Calculator!$B$12)</f>
        <v>42755</v>
      </c>
      <c r="J105" s="11" t="n">
        <f aca="false">MAX(H105,0)-I105</f>
        <v>311245</v>
      </c>
      <c r="K105" s="11" t="n">
        <f aca="false">MIN(IF(A105&gt;0,Calculator!$B$13,0)+E105+Calculator!$B$14,'Tax Tables'!$B$36)</f>
        <v>1000</v>
      </c>
      <c r="L105" s="11" t="n">
        <f aca="false">MAX(A105-K105,0)</f>
        <v>45000</v>
      </c>
      <c r="M105" s="11" t="n">
        <f aca="false">SUMPRODUCT((L105&gt;'Tax Tables'!$A$5:$A$17)*(L105-'Tax Tables'!$A$5:$A$17)*'Tax Tables'!$C$5:$C$17)</f>
        <v>900</v>
      </c>
      <c r="N105" s="11" t="n">
        <f aca="false">IF(H105&lt;0,-1E+099,A105-E105-M105+J105+(E105+F105)*Calculator!$B$9)</f>
        <v>356345</v>
      </c>
      <c r="O105" s="2"/>
      <c r="P105" s="11" t="n">
        <f aca="false">92*$B$3</f>
        <v>46000</v>
      </c>
      <c r="Q105" s="11" t="n">
        <f aca="false">MIN(P105,'Tax Tables'!$B$31*'Tax Tables'!$B$32)</f>
        <v>46000</v>
      </c>
      <c r="R105" s="11" t="n">
        <f aca="false">P105-Q105</f>
        <v>0</v>
      </c>
      <c r="S105" s="11" t="n">
        <f aca="false">IF(Calculator!$B$6="Yes",MIN(Q105,'Tax Tables'!$B$31*'Tax Tables'!$B$32),0)</f>
        <v>46000</v>
      </c>
      <c r="T105" s="11" t="n">
        <f aca="false">S105*Calculator!$B$7</f>
        <v>9200</v>
      </c>
      <c r="U105" s="11" t="n">
        <f aca="false">S105*Calculator!$B$8</f>
        <v>7820</v>
      </c>
      <c r="V105" s="11" t="n">
        <f aca="false">IF(Q105&gt;0,'Tax Tables'!$B$32*MIN(MAX(Q105/'Tax Tables'!$B$32*'Tax Tables'!$B$33,'Tax Tables'!$B$34),'Tax Tables'!$B$35),0)</f>
        <v>115</v>
      </c>
      <c r="W105" s="11" t="n">
        <f aca="false">Calculator!$B$5-P105-U105-V105</f>
        <v>346065</v>
      </c>
      <c r="X105" s="11" t="n">
        <f aca="false">'Tax Tables'!$B$22*(MAX(W105,0)-IF(Calculator!$B$10="Yes",MIN(MAX(W105,0),'Tax Tables'!$B$27)*'Tax Tables'!$B$28+MIN(MAX(MAX(W105,0)-'Tax Tables'!$B$27,0),'Tax Tables'!$B$29)*'Tax Tables'!$B$30,MIN(MAX(W105,0),'Tax Tables'!$B$23)*'Tax Tables'!$B$24+MIN(MAX(MAX(W105,0)-'Tax Tables'!$B$23,0),'Tax Tables'!$B$25)*'Tax Tables'!$B$26))*1-MIN('Tax Tables'!$B$22*(MAX(W105,0)-IF(Calculator!$B$10="Yes",MIN(MAX(W105,0),'Tax Tables'!$B$27)*'Tax Tables'!$B$28+MIN(MAX(MAX(W105,0)-'Tax Tables'!$B$27,0),'Tax Tables'!$B$29)*'Tax Tables'!$B$30,MIN(MAX(W105,0),'Tax Tables'!$B$23)*'Tax Tables'!$B$24+MIN(MAX(MAX(W105,0)-'Tax Tables'!$B$23,0),'Tax Tables'!$B$25)*'Tax Tables'!$B$26))*Calculator!$B$11,Calculator!$B$12)</f>
        <v>41406.05</v>
      </c>
      <c r="Y105" s="11" t="n">
        <f aca="false">MAX(W105,0)-X105</f>
        <v>304658.95</v>
      </c>
      <c r="Z105" s="11" t="n">
        <f aca="false">MIN(IF(P105&gt;0,Calculator!$B$13,0)+T105+Calculator!$B$14,'Tax Tables'!$B$36)</f>
        <v>10200</v>
      </c>
      <c r="AA105" s="11" t="n">
        <f aca="false">MAX(P105-Z105,0)</f>
        <v>35800</v>
      </c>
      <c r="AB105" s="11" t="n">
        <f aca="false">SUMPRODUCT((AA105&gt;'Tax Tables'!$A$5:$A$17)*(AA105-'Tax Tables'!$A$5:$A$17)*'Tax Tables'!$C$5:$C$17)</f>
        <v>403</v>
      </c>
      <c r="AC105" s="11" t="n">
        <f aca="false">IF(W105&lt;0,-1E+099,P105-T105-AB105+Y105+(T105+U105)*Calculator!$B$9)</f>
        <v>358075.95</v>
      </c>
    </row>
    <row r="106" customFormat="false" ht="15" hidden="false" customHeight="false" outlineLevel="0" collapsed="false">
      <c r="A106" s="11" t="n">
        <f aca="false">93*$B$3</f>
        <v>46500</v>
      </c>
      <c r="B106" s="11" t="n">
        <f aca="false">0</f>
        <v>0</v>
      </c>
      <c r="C106" s="11" t="n">
        <f aca="false">A106-B106</f>
        <v>46500</v>
      </c>
      <c r="D106" s="11" t="n">
        <f aca="false">IF(Calculator!$B$6="Yes",MIN(B106,'Tax Tables'!$B$31*'Tax Tables'!$B$32),0)</f>
        <v>0</v>
      </c>
      <c r="E106" s="11" t="n">
        <f aca="false">D106*Calculator!$B$7</f>
        <v>0</v>
      </c>
      <c r="F106" s="11" t="n">
        <f aca="false">D106*Calculator!$B$8</f>
        <v>0</v>
      </c>
      <c r="G106" s="11" t="n">
        <f aca="false">IF(B106&gt;0,'Tax Tables'!$B$32*MIN(MAX(B106/'Tax Tables'!$B$32*'Tax Tables'!$B$33,'Tax Tables'!$B$34),'Tax Tables'!$B$35),0)</f>
        <v>0</v>
      </c>
      <c r="H106" s="11" t="n">
        <f aca="false">Calculator!$B$5-A106-F106-G106</f>
        <v>353500</v>
      </c>
      <c r="I106" s="11" t="n">
        <f aca="false">'Tax Tables'!$B$22*(MAX(H106,0)-IF(Calculator!$B$10="Yes",MIN(MAX(H106,0),'Tax Tables'!$B$27)*'Tax Tables'!$B$28+MIN(MAX(MAX(H106,0)-'Tax Tables'!$B$27,0),'Tax Tables'!$B$29)*'Tax Tables'!$B$30,MIN(MAX(H106,0),'Tax Tables'!$B$23)*'Tax Tables'!$B$24+MIN(MAX(MAX(H106,0)-'Tax Tables'!$B$23,0),'Tax Tables'!$B$25)*'Tax Tables'!$B$26))*1-MIN('Tax Tables'!$B$22*(MAX(H106,0)-IF(Calculator!$B$10="Yes",MIN(MAX(H106,0),'Tax Tables'!$B$27)*'Tax Tables'!$B$28+MIN(MAX(MAX(H106,0)-'Tax Tables'!$B$27,0),'Tax Tables'!$B$29)*'Tax Tables'!$B$30,MIN(MAX(H106,0),'Tax Tables'!$B$23)*'Tax Tables'!$B$24+MIN(MAX(MAX(H106,0)-'Tax Tables'!$B$23,0),'Tax Tables'!$B$25)*'Tax Tables'!$B$26))*Calculator!$B$11,Calculator!$B$12)</f>
        <v>42670</v>
      </c>
      <c r="J106" s="11" t="n">
        <f aca="false">MAX(H106,0)-I106</f>
        <v>310830</v>
      </c>
      <c r="K106" s="11" t="n">
        <f aca="false">MIN(IF(A106&gt;0,Calculator!$B$13,0)+E106+Calculator!$B$14,'Tax Tables'!$B$36)</f>
        <v>1000</v>
      </c>
      <c r="L106" s="11" t="n">
        <f aca="false">MAX(A106-K106,0)</f>
        <v>45500</v>
      </c>
      <c r="M106" s="11" t="n">
        <f aca="false">SUMPRODUCT((L106&gt;'Tax Tables'!$A$5:$A$17)*(L106-'Tax Tables'!$A$5:$A$17)*'Tax Tables'!$C$5:$C$17)</f>
        <v>935</v>
      </c>
      <c r="N106" s="11" t="n">
        <f aca="false">IF(H106&lt;0,-1E+099,A106-E106-M106+J106+(E106+F106)*Calculator!$B$9)</f>
        <v>356395</v>
      </c>
      <c r="O106" s="2"/>
      <c r="P106" s="11" t="n">
        <f aca="false">93*$B$3</f>
        <v>46500</v>
      </c>
      <c r="Q106" s="11" t="n">
        <f aca="false">MIN(P106,'Tax Tables'!$B$31*'Tax Tables'!$B$32)</f>
        <v>46500</v>
      </c>
      <c r="R106" s="11" t="n">
        <f aca="false">P106-Q106</f>
        <v>0</v>
      </c>
      <c r="S106" s="11" t="n">
        <f aca="false">IF(Calculator!$B$6="Yes",MIN(Q106,'Tax Tables'!$B$31*'Tax Tables'!$B$32),0)</f>
        <v>46500</v>
      </c>
      <c r="T106" s="11" t="n">
        <f aca="false">S106*Calculator!$B$7</f>
        <v>9300</v>
      </c>
      <c r="U106" s="11" t="n">
        <f aca="false">S106*Calculator!$B$8</f>
        <v>7905</v>
      </c>
      <c r="V106" s="11" t="n">
        <f aca="false">IF(Q106&gt;0,'Tax Tables'!$B$32*MIN(MAX(Q106/'Tax Tables'!$B$32*'Tax Tables'!$B$33,'Tax Tables'!$B$34),'Tax Tables'!$B$35),0)</f>
        <v>116.25</v>
      </c>
      <c r="W106" s="11" t="n">
        <f aca="false">Calculator!$B$5-P106-U106-V106</f>
        <v>345478.75</v>
      </c>
      <c r="X106" s="11" t="n">
        <f aca="false">'Tax Tables'!$B$22*(MAX(W106,0)-IF(Calculator!$B$10="Yes",MIN(MAX(W106,0),'Tax Tables'!$B$27)*'Tax Tables'!$B$28+MIN(MAX(MAX(W106,0)-'Tax Tables'!$B$27,0),'Tax Tables'!$B$29)*'Tax Tables'!$B$30,MIN(MAX(W106,0),'Tax Tables'!$B$23)*'Tax Tables'!$B$24+MIN(MAX(MAX(W106,0)-'Tax Tables'!$B$23,0),'Tax Tables'!$B$25)*'Tax Tables'!$B$26))*1-MIN('Tax Tables'!$B$22*(MAX(W106,0)-IF(Calculator!$B$10="Yes",MIN(MAX(W106,0),'Tax Tables'!$B$27)*'Tax Tables'!$B$28+MIN(MAX(MAX(W106,0)-'Tax Tables'!$B$27,0),'Tax Tables'!$B$29)*'Tax Tables'!$B$30,MIN(MAX(W106,0),'Tax Tables'!$B$23)*'Tax Tables'!$B$24+MIN(MAX(MAX(W106,0)-'Tax Tables'!$B$23,0),'Tax Tables'!$B$25)*'Tax Tables'!$B$26))*Calculator!$B$11,Calculator!$B$12)</f>
        <v>41306.3875</v>
      </c>
      <c r="Y106" s="11" t="n">
        <f aca="false">MAX(W106,0)-X106</f>
        <v>304172.3625</v>
      </c>
      <c r="Z106" s="11" t="n">
        <f aca="false">MIN(IF(P106&gt;0,Calculator!$B$13,0)+T106+Calculator!$B$14,'Tax Tables'!$B$36)</f>
        <v>10300</v>
      </c>
      <c r="AA106" s="11" t="n">
        <f aca="false">MAX(P106-Z106,0)</f>
        <v>36200</v>
      </c>
      <c r="AB106" s="11" t="n">
        <f aca="false">SUMPRODUCT((AA106&gt;'Tax Tables'!$A$5:$A$17)*(AA106-'Tax Tables'!$A$5:$A$17)*'Tax Tables'!$C$5:$C$17)</f>
        <v>417</v>
      </c>
      <c r="AC106" s="11" t="n">
        <f aca="false">IF(W106&lt;0,-1E+099,P106-T106-AB106+Y106+(T106+U106)*Calculator!$B$9)</f>
        <v>358160.3625</v>
      </c>
    </row>
    <row r="107" customFormat="false" ht="15" hidden="false" customHeight="false" outlineLevel="0" collapsed="false">
      <c r="A107" s="11" t="n">
        <f aca="false">94*$B$3</f>
        <v>47000</v>
      </c>
      <c r="B107" s="11" t="n">
        <f aca="false">0</f>
        <v>0</v>
      </c>
      <c r="C107" s="11" t="n">
        <f aca="false">A107-B107</f>
        <v>47000</v>
      </c>
      <c r="D107" s="11" t="n">
        <f aca="false">IF(Calculator!$B$6="Yes",MIN(B107,'Tax Tables'!$B$31*'Tax Tables'!$B$32),0)</f>
        <v>0</v>
      </c>
      <c r="E107" s="11" t="n">
        <f aca="false">D107*Calculator!$B$7</f>
        <v>0</v>
      </c>
      <c r="F107" s="11" t="n">
        <f aca="false">D107*Calculator!$B$8</f>
        <v>0</v>
      </c>
      <c r="G107" s="11" t="n">
        <f aca="false">IF(B107&gt;0,'Tax Tables'!$B$32*MIN(MAX(B107/'Tax Tables'!$B$32*'Tax Tables'!$B$33,'Tax Tables'!$B$34),'Tax Tables'!$B$35),0)</f>
        <v>0</v>
      </c>
      <c r="H107" s="11" t="n">
        <f aca="false">Calculator!$B$5-A107-F107-G107</f>
        <v>353000</v>
      </c>
      <c r="I107" s="11" t="n">
        <f aca="false">'Tax Tables'!$B$22*(MAX(H107,0)-IF(Calculator!$B$10="Yes",MIN(MAX(H107,0),'Tax Tables'!$B$27)*'Tax Tables'!$B$28+MIN(MAX(MAX(H107,0)-'Tax Tables'!$B$27,0),'Tax Tables'!$B$29)*'Tax Tables'!$B$30,MIN(MAX(H107,0),'Tax Tables'!$B$23)*'Tax Tables'!$B$24+MIN(MAX(MAX(H107,0)-'Tax Tables'!$B$23,0),'Tax Tables'!$B$25)*'Tax Tables'!$B$26))*1-MIN('Tax Tables'!$B$22*(MAX(H107,0)-IF(Calculator!$B$10="Yes",MIN(MAX(H107,0),'Tax Tables'!$B$27)*'Tax Tables'!$B$28+MIN(MAX(MAX(H107,0)-'Tax Tables'!$B$27,0),'Tax Tables'!$B$29)*'Tax Tables'!$B$30,MIN(MAX(H107,0),'Tax Tables'!$B$23)*'Tax Tables'!$B$24+MIN(MAX(MAX(H107,0)-'Tax Tables'!$B$23,0),'Tax Tables'!$B$25)*'Tax Tables'!$B$26))*Calculator!$B$11,Calculator!$B$12)</f>
        <v>42585</v>
      </c>
      <c r="J107" s="11" t="n">
        <f aca="false">MAX(H107,0)-I107</f>
        <v>310415</v>
      </c>
      <c r="K107" s="11" t="n">
        <f aca="false">MIN(IF(A107&gt;0,Calculator!$B$13,0)+E107+Calculator!$B$14,'Tax Tables'!$B$36)</f>
        <v>1000</v>
      </c>
      <c r="L107" s="11" t="n">
        <f aca="false">MAX(A107-K107,0)</f>
        <v>46000</v>
      </c>
      <c r="M107" s="11" t="n">
        <f aca="false">SUMPRODUCT((L107&gt;'Tax Tables'!$A$5:$A$17)*(L107-'Tax Tables'!$A$5:$A$17)*'Tax Tables'!$C$5:$C$17)</f>
        <v>970</v>
      </c>
      <c r="N107" s="11" t="n">
        <f aca="false">IF(H107&lt;0,-1E+099,A107-E107-M107+J107+(E107+F107)*Calculator!$B$9)</f>
        <v>356445</v>
      </c>
      <c r="O107" s="2"/>
      <c r="P107" s="11" t="n">
        <f aca="false">94*$B$3</f>
        <v>47000</v>
      </c>
      <c r="Q107" s="11" t="n">
        <f aca="false">MIN(P107,'Tax Tables'!$B$31*'Tax Tables'!$B$32)</f>
        <v>47000</v>
      </c>
      <c r="R107" s="11" t="n">
        <f aca="false">P107-Q107</f>
        <v>0</v>
      </c>
      <c r="S107" s="11" t="n">
        <f aca="false">IF(Calculator!$B$6="Yes",MIN(Q107,'Tax Tables'!$B$31*'Tax Tables'!$B$32),0)</f>
        <v>47000</v>
      </c>
      <c r="T107" s="11" t="n">
        <f aca="false">S107*Calculator!$B$7</f>
        <v>9400</v>
      </c>
      <c r="U107" s="11" t="n">
        <f aca="false">S107*Calculator!$B$8</f>
        <v>7990</v>
      </c>
      <c r="V107" s="11" t="n">
        <f aca="false">IF(Q107&gt;0,'Tax Tables'!$B$32*MIN(MAX(Q107/'Tax Tables'!$B$32*'Tax Tables'!$B$33,'Tax Tables'!$B$34),'Tax Tables'!$B$35),0)</f>
        <v>117.5</v>
      </c>
      <c r="W107" s="11" t="n">
        <f aca="false">Calculator!$B$5-P107-U107-V107</f>
        <v>344892.5</v>
      </c>
      <c r="X107" s="11" t="n">
        <f aca="false">'Tax Tables'!$B$22*(MAX(W107,0)-IF(Calculator!$B$10="Yes",MIN(MAX(W107,0),'Tax Tables'!$B$27)*'Tax Tables'!$B$28+MIN(MAX(MAX(W107,0)-'Tax Tables'!$B$27,0),'Tax Tables'!$B$29)*'Tax Tables'!$B$30,MIN(MAX(W107,0),'Tax Tables'!$B$23)*'Tax Tables'!$B$24+MIN(MAX(MAX(W107,0)-'Tax Tables'!$B$23,0),'Tax Tables'!$B$25)*'Tax Tables'!$B$26))*1-MIN('Tax Tables'!$B$22*(MAX(W107,0)-IF(Calculator!$B$10="Yes",MIN(MAX(W107,0),'Tax Tables'!$B$27)*'Tax Tables'!$B$28+MIN(MAX(MAX(W107,0)-'Tax Tables'!$B$27,0),'Tax Tables'!$B$29)*'Tax Tables'!$B$30,MIN(MAX(W107,0),'Tax Tables'!$B$23)*'Tax Tables'!$B$24+MIN(MAX(MAX(W107,0)-'Tax Tables'!$B$23,0),'Tax Tables'!$B$25)*'Tax Tables'!$B$26))*Calculator!$B$11,Calculator!$B$12)</f>
        <v>41206.725</v>
      </c>
      <c r="Y107" s="11" t="n">
        <f aca="false">MAX(W107,0)-X107</f>
        <v>303685.775</v>
      </c>
      <c r="Z107" s="11" t="n">
        <f aca="false">MIN(IF(P107&gt;0,Calculator!$B$13,0)+T107+Calculator!$B$14,'Tax Tables'!$B$36)</f>
        <v>10400</v>
      </c>
      <c r="AA107" s="11" t="n">
        <f aca="false">MAX(P107-Z107,0)</f>
        <v>36600</v>
      </c>
      <c r="AB107" s="11" t="n">
        <f aca="false">SUMPRODUCT((AA107&gt;'Tax Tables'!$A$5:$A$17)*(AA107-'Tax Tables'!$A$5:$A$17)*'Tax Tables'!$C$5:$C$17)</f>
        <v>431</v>
      </c>
      <c r="AC107" s="11" t="n">
        <f aca="false">IF(W107&lt;0,-1E+099,P107-T107-AB107+Y107+(T107+U107)*Calculator!$B$9)</f>
        <v>358244.775</v>
      </c>
    </row>
    <row r="108" customFormat="false" ht="15" hidden="false" customHeight="false" outlineLevel="0" collapsed="false">
      <c r="A108" s="11" t="n">
        <f aca="false">95*$B$3</f>
        <v>47500</v>
      </c>
      <c r="B108" s="11" t="n">
        <f aca="false">0</f>
        <v>0</v>
      </c>
      <c r="C108" s="11" t="n">
        <f aca="false">A108-B108</f>
        <v>47500</v>
      </c>
      <c r="D108" s="11" t="n">
        <f aca="false">IF(Calculator!$B$6="Yes",MIN(B108,'Tax Tables'!$B$31*'Tax Tables'!$B$32),0)</f>
        <v>0</v>
      </c>
      <c r="E108" s="11" t="n">
        <f aca="false">D108*Calculator!$B$7</f>
        <v>0</v>
      </c>
      <c r="F108" s="11" t="n">
        <f aca="false">D108*Calculator!$B$8</f>
        <v>0</v>
      </c>
      <c r="G108" s="11" t="n">
        <f aca="false">IF(B108&gt;0,'Tax Tables'!$B$32*MIN(MAX(B108/'Tax Tables'!$B$32*'Tax Tables'!$B$33,'Tax Tables'!$B$34),'Tax Tables'!$B$35),0)</f>
        <v>0</v>
      </c>
      <c r="H108" s="11" t="n">
        <f aca="false">Calculator!$B$5-A108-F108-G108</f>
        <v>352500</v>
      </c>
      <c r="I108" s="11" t="n">
        <f aca="false">'Tax Tables'!$B$22*(MAX(H108,0)-IF(Calculator!$B$10="Yes",MIN(MAX(H108,0),'Tax Tables'!$B$27)*'Tax Tables'!$B$28+MIN(MAX(MAX(H108,0)-'Tax Tables'!$B$27,0),'Tax Tables'!$B$29)*'Tax Tables'!$B$30,MIN(MAX(H108,0),'Tax Tables'!$B$23)*'Tax Tables'!$B$24+MIN(MAX(MAX(H108,0)-'Tax Tables'!$B$23,0),'Tax Tables'!$B$25)*'Tax Tables'!$B$26))*1-MIN('Tax Tables'!$B$22*(MAX(H108,0)-IF(Calculator!$B$10="Yes",MIN(MAX(H108,0),'Tax Tables'!$B$27)*'Tax Tables'!$B$28+MIN(MAX(MAX(H108,0)-'Tax Tables'!$B$27,0),'Tax Tables'!$B$29)*'Tax Tables'!$B$30,MIN(MAX(H108,0),'Tax Tables'!$B$23)*'Tax Tables'!$B$24+MIN(MAX(MAX(H108,0)-'Tax Tables'!$B$23,0),'Tax Tables'!$B$25)*'Tax Tables'!$B$26))*Calculator!$B$11,Calculator!$B$12)</f>
        <v>42500</v>
      </c>
      <c r="J108" s="11" t="n">
        <f aca="false">MAX(H108,0)-I108</f>
        <v>310000</v>
      </c>
      <c r="K108" s="11" t="n">
        <f aca="false">MIN(IF(A108&gt;0,Calculator!$B$13,0)+E108+Calculator!$B$14,'Tax Tables'!$B$36)</f>
        <v>1000</v>
      </c>
      <c r="L108" s="11" t="n">
        <f aca="false">MAX(A108-K108,0)</f>
        <v>46500</v>
      </c>
      <c r="M108" s="11" t="n">
        <f aca="false">SUMPRODUCT((L108&gt;'Tax Tables'!$A$5:$A$17)*(L108-'Tax Tables'!$A$5:$A$17)*'Tax Tables'!$C$5:$C$17)</f>
        <v>1005</v>
      </c>
      <c r="N108" s="11" t="n">
        <f aca="false">IF(H108&lt;0,-1E+099,A108-E108-M108+J108+(E108+F108)*Calculator!$B$9)</f>
        <v>356495</v>
      </c>
      <c r="O108" s="2"/>
      <c r="P108" s="11" t="n">
        <f aca="false">95*$B$3</f>
        <v>47500</v>
      </c>
      <c r="Q108" s="11" t="n">
        <f aca="false">MIN(P108,'Tax Tables'!$B$31*'Tax Tables'!$B$32)</f>
        <v>47500</v>
      </c>
      <c r="R108" s="11" t="n">
        <f aca="false">P108-Q108</f>
        <v>0</v>
      </c>
      <c r="S108" s="11" t="n">
        <f aca="false">IF(Calculator!$B$6="Yes",MIN(Q108,'Tax Tables'!$B$31*'Tax Tables'!$B$32),0)</f>
        <v>47500</v>
      </c>
      <c r="T108" s="11" t="n">
        <f aca="false">S108*Calculator!$B$7</f>
        <v>9500</v>
      </c>
      <c r="U108" s="11" t="n">
        <f aca="false">S108*Calculator!$B$8</f>
        <v>8075</v>
      </c>
      <c r="V108" s="11" t="n">
        <f aca="false">IF(Q108&gt;0,'Tax Tables'!$B$32*MIN(MAX(Q108/'Tax Tables'!$B$32*'Tax Tables'!$B$33,'Tax Tables'!$B$34),'Tax Tables'!$B$35),0)</f>
        <v>118.75</v>
      </c>
      <c r="W108" s="11" t="n">
        <f aca="false">Calculator!$B$5-P108-U108-V108</f>
        <v>344306.25</v>
      </c>
      <c r="X108" s="11" t="n">
        <f aca="false">'Tax Tables'!$B$22*(MAX(W108,0)-IF(Calculator!$B$10="Yes",MIN(MAX(W108,0),'Tax Tables'!$B$27)*'Tax Tables'!$B$28+MIN(MAX(MAX(W108,0)-'Tax Tables'!$B$27,0),'Tax Tables'!$B$29)*'Tax Tables'!$B$30,MIN(MAX(W108,0),'Tax Tables'!$B$23)*'Tax Tables'!$B$24+MIN(MAX(MAX(W108,0)-'Tax Tables'!$B$23,0),'Tax Tables'!$B$25)*'Tax Tables'!$B$26))*1-MIN('Tax Tables'!$B$22*(MAX(W108,0)-IF(Calculator!$B$10="Yes",MIN(MAX(W108,0),'Tax Tables'!$B$27)*'Tax Tables'!$B$28+MIN(MAX(MAX(W108,0)-'Tax Tables'!$B$27,0),'Tax Tables'!$B$29)*'Tax Tables'!$B$30,MIN(MAX(W108,0),'Tax Tables'!$B$23)*'Tax Tables'!$B$24+MIN(MAX(MAX(W108,0)-'Tax Tables'!$B$23,0),'Tax Tables'!$B$25)*'Tax Tables'!$B$26))*Calculator!$B$11,Calculator!$B$12)</f>
        <v>41107.0625</v>
      </c>
      <c r="Y108" s="11" t="n">
        <f aca="false">MAX(W108,0)-X108</f>
        <v>303199.1875</v>
      </c>
      <c r="Z108" s="11" t="n">
        <f aca="false">MIN(IF(P108&gt;0,Calculator!$B$13,0)+T108+Calculator!$B$14,'Tax Tables'!$B$36)</f>
        <v>10500</v>
      </c>
      <c r="AA108" s="11" t="n">
        <f aca="false">MAX(P108-Z108,0)</f>
        <v>37000</v>
      </c>
      <c r="AB108" s="11" t="n">
        <f aca="false">SUMPRODUCT((AA108&gt;'Tax Tables'!$A$5:$A$17)*(AA108-'Tax Tables'!$A$5:$A$17)*'Tax Tables'!$C$5:$C$17)</f>
        <v>445</v>
      </c>
      <c r="AC108" s="11" t="n">
        <f aca="false">IF(W108&lt;0,-1E+099,P108-T108-AB108+Y108+(T108+U108)*Calculator!$B$9)</f>
        <v>358329.1875</v>
      </c>
    </row>
    <row r="109" customFormat="false" ht="15" hidden="false" customHeight="false" outlineLevel="0" collapsed="false">
      <c r="A109" s="11" t="n">
        <f aca="false">96*$B$3</f>
        <v>48000</v>
      </c>
      <c r="B109" s="11" t="n">
        <f aca="false">0</f>
        <v>0</v>
      </c>
      <c r="C109" s="11" t="n">
        <f aca="false">A109-B109</f>
        <v>48000</v>
      </c>
      <c r="D109" s="11" t="n">
        <f aca="false">IF(Calculator!$B$6="Yes",MIN(B109,'Tax Tables'!$B$31*'Tax Tables'!$B$32),0)</f>
        <v>0</v>
      </c>
      <c r="E109" s="11" t="n">
        <f aca="false">D109*Calculator!$B$7</f>
        <v>0</v>
      </c>
      <c r="F109" s="11" t="n">
        <f aca="false">D109*Calculator!$B$8</f>
        <v>0</v>
      </c>
      <c r="G109" s="11" t="n">
        <f aca="false">IF(B109&gt;0,'Tax Tables'!$B$32*MIN(MAX(B109/'Tax Tables'!$B$32*'Tax Tables'!$B$33,'Tax Tables'!$B$34),'Tax Tables'!$B$35),0)</f>
        <v>0</v>
      </c>
      <c r="H109" s="11" t="n">
        <f aca="false">Calculator!$B$5-A109-F109-G109</f>
        <v>352000</v>
      </c>
      <c r="I109" s="11" t="n">
        <f aca="false">'Tax Tables'!$B$22*(MAX(H109,0)-IF(Calculator!$B$10="Yes",MIN(MAX(H109,0),'Tax Tables'!$B$27)*'Tax Tables'!$B$28+MIN(MAX(MAX(H109,0)-'Tax Tables'!$B$27,0),'Tax Tables'!$B$29)*'Tax Tables'!$B$30,MIN(MAX(H109,0),'Tax Tables'!$B$23)*'Tax Tables'!$B$24+MIN(MAX(MAX(H109,0)-'Tax Tables'!$B$23,0),'Tax Tables'!$B$25)*'Tax Tables'!$B$26))*1-MIN('Tax Tables'!$B$22*(MAX(H109,0)-IF(Calculator!$B$10="Yes",MIN(MAX(H109,0),'Tax Tables'!$B$27)*'Tax Tables'!$B$28+MIN(MAX(MAX(H109,0)-'Tax Tables'!$B$27,0),'Tax Tables'!$B$29)*'Tax Tables'!$B$30,MIN(MAX(H109,0),'Tax Tables'!$B$23)*'Tax Tables'!$B$24+MIN(MAX(MAX(H109,0)-'Tax Tables'!$B$23,0),'Tax Tables'!$B$25)*'Tax Tables'!$B$26))*Calculator!$B$11,Calculator!$B$12)</f>
        <v>42415</v>
      </c>
      <c r="J109" s="11" t="n">
        <f aca="false">MAX(H109,0)-I109</f>
        <v>309585</v>
      </c>
      <c r="K109" s="11" t="n">
        <f aca="false">MIN(IF(A109&gt;0,Calculator!$B$13,0)+E109+Calculator!$B$14,'Tax Tables'!$B$36)</f>
        <v>1000</v>
      </c>
      <c r="L109" s="11" t="n">
        <f aca="false">MAX(A109-K109,0)</f>
        <v>47000</v>
      </c>
      <c r="M109" s="11" t="n">
        <f aca="false">SUMPRODUCT((L109&gt;'Tax Tables'!$A$5:$A$17)*(L109-'Tax Tables'!$A$5:$A$17)*'Tax Tables'!$C$5:$C$17)</f>
        <v>1040</v>
      </c>
      <c r="N109" s="11" t="n">
        <f aca="false">IF(H109&lt;0,-1E+099,A109-E109-M109+J109+(E109+F109)*Calculator!$B$9)</f>
        <v>356545</v>
      </c>
      <c r="O109" s="2"/>
      <c r="P109" s="11" t="n">
        <f aca="false">96*$B$3</f>
        <v>48000</v>
      </c>
      <c r="Q109" s="11" t="n">
        <f aca="false">MIN(P109,'Tax Tables'!$B$31*'Tax Tables'!$B$32)</f>
        <v>48000</v>
      </c>
      <c r="R109" s="11" t="n">
        <f aca="false">P109-Q109</f>
        <v>0</v>
      </c>
      <c r="S109" s="11" t="n">
        <f aca="false">IF(Calculator!$B$6="Yes",MIN(Q109,'Tax Tables'!$B$31*'Tax Tables'!$B$32),0)</f>
        <v>48000</v>
      </c>
      <c r="T109" s="11" t="n">
        <f aca="false">S109*Calculator!$B$7</f>
        <v>9600</v>
      </c>
      <c r="U109" s="11" t="n">
        <f aca="false">S109*Calculator!$B$8</f>
        <v>8160</v>
      </c>
      <c r="V109" s="11" t="n">
        <f aca="false">IF(Q109&gt;0,'Tax Tables'!$B$32*MIN(MAX(Q109/'Tax Tables'!$B$32*'Tax Tables'!$B$33,'Tax Tables'!$B$34),'Tax Tables'!$B$35),0)</f>
        <v>120</v>
      </c>
      <c r="W109" s="11" t="n">
        <f aca="false">Calculator!$B$5-P109-U109-V109</f>
        <v>343720</v>
      </c>
      <c r="X109" s="11" t="n">
        <f aca="false">'Tax Tables'!$B$22*(MAX(W109,0)-IF(Calculator!$B$10="Yes",MIN(MAX(W109,0),'Tax Tables'!$B$27)*'Tax Tables'!$B$28+MIN(MAX(MAX(W109,0)-'Tax Tables'!$B$27,0),'Tax Tables'!$B$29)*'Tax Tables'!$B$30,MIN(MAX(W109,0),'Tax Tables'!$B$23)*'Tax Tables'!$B$24+MIN(MAX(MAX(W109,0)-'Tax Tables'!$B$23,0),'Tax Tables'!$B$25)*'Tax Tables'!$B$26))*1-MIN('Tax Tables'!$B$22*(MAX(W109,0)-IF(Calculator!$B$10="Yes",MIN(MAX(W109,0),'Tax Tables'!$B$27)*'Tax Tables'!$B$28+MIN(MAX(MAX(W109,0)-'Tax Tables'!$B$27,0),'Tax Tables'!$B$29)*'Tax Tables'!$B$30,MIN(MAX(W109,0),'Tax Tables'!$B$23)*'Tax Tables'!$B$24+MIN(MAX(MAX(W109,0)-'Tax Tables'!$B$23,0),'Tax Tables'!$B$25)*'Tax Tables'!$B$26))*Calculator!$B$11,Calculator!$B$12)</f>
        <v>41007.4</v>
      </c>
      <c r="Y109" s="11" t="n">
        <f aca="false">MAX(W109,0)-X109</f>
        <v>302712.6</v>
      </c>
      <c r="Z109" s="11" t="n">
        <f aca="false">MIN(IF(P109&gt;0,Calculator!$B$13,0)+T109+Calculator!$B$14,'Tax Tables'!$B$36)</f>
        <v>10600</v>
      </c>
      <c r="AA109" s="11" t="n">
        <f aca="false">MAX(P109-Z109,0)</f>
        <v>37400</v>
      </c>
      <c r="AB109" s="11" t="n">
        <f aca="false">SUMPRODUCT((AA109&gt;'Tax Tables'!$A$5:$A$17)*(AA109-'Tax Tables'!$A$5:$A$17)*'Tax Tables'!$C$5:$C$17)</f>
        <v>459</v>
      </c>
      <c r="AC109" s="11" t="n">
        <f aca="false">IF(W109&lt;0,-1E+099,P109-T109-AB109+Y109+(T109+U109)*Calculator!$B$9)</f>
        <v>358413.6</v>
      </c>
    </row>
    <row r="110" customFormat="false" ht="15" hidden="false" customHeight="false" outlineLevel="0" collapsed="false">
      <c r="A110" s="11" t="n">
        <f aca="false">97*$B$3</f>
        <v>48500</v>
      </c>
      <c r="B110" s="11" t="n">
        <f aca="false">0</f>
        <v>0</v>
      </c>
      <c r="C110" s="11" t="n">
        <f aca="false">A110-B110</f>
        <v>48500</v>
      </c>
      <c r="D110" s="11" t="n">
        <f aca="false">IF(Calculator!$B$6="Yes",MIN(B110,'Tax Tables'!$B$31*'Tax Tables'!$B$32),0)</f>
        <v>0</v>
      </c>
      <c r="E110" s="11" t="n">
        <f aca="false">D110*Calculator!$B$7</f>
        <v>0</v>
      </c>
      <c r="F110" s="11" t="n">
        <f aca="false">D110*Calculator!$B$8</f>
        <v>0</v>
      </c>
      <c r="G110" s="11" t="n">
        <f aca="false">IF(B110&gt;0,'Tax Tables'!$B$32*MIN(MAX(B110/'Tax Tables'!$B$32*'Tax Tables'!$B$33,'Tax Tables'!$B$34),'Tax Tables'!$B$35),0)</f>
        <v>0</v>
      </c>
      <c r="H110" s="11" t="n">
        <f aca="false">Calculator!$B$5-A110-F110-G110</f>
        <v>351500</v>
      </c>
      <c r="I110" s="11" t="n">
        <f aca="false">'Tax Tables'!$B$22*(MAX(H110,0)-IF(Calculator!$B$10="Yes",MIN(MAX(H110,0),'Tax Tables'!$B$27)*'Tax Tables'!$B$28+MIN(MAX(MAX(H110,0)-'Tax Tables'!$B$27,0),'Tax Tables'!$B$29)*'Tax Tables'!$B$30,MIN(MAX(H110,0),'Tax Tables'!$B$23)*'Tax Tables'!$B$24+MIN(MAX(MAX(H110,0)-'Tax Tables'!$B$23,0),'Tax Tables'!$B$25)*'Tax Tables'!$B$26))*1-MIN('Tax Tables'!$B$22*(MAX(H110,0)-IF(Calculator!$B$10="Yes",MIN(MAX(H110,0),'Tax Tables'!$B$27)*'Tax Tables'!$B$28+MIN(MAX(MAX(H110,0)-'Tax Tables'!$B$27,0),'Tax Tables'!$B$29)*'Tax Tables'!$B$30,MIN(MAX(H110,0),'Tax Tables'!$B$23)*'Tax Tables'!$B$24+MIN(MAX(MAX(H110,0)-'Tax Tables'!$B$23,0),'Tax Tables'!$B$25)*'Tax Tables'!$B$26))*Calculator!$B$11,Calculator!$B$12)</f>
        <v>42330</v>
      </c>
      <c r="J110" s="11" t="n">
        <f aca="false">MAX(H110,0)-I110</f>
        <v>309170</v>
      </c>
      <c r="K110" s="11" t="n">
        <f aca="false">MIN(IF(A110&gt;0,Calculator!$B$13,0)+E110+Calculator!$B$14,'Tax Tables'!$B$36)</f>
        <v>1000</v>
      </c>
      <c r="L110" s="11" t="n">
        <f aca="false">MAX(A110-K110,0)</f>
        <v>47500</v>
      </c>
      <c r="M110" s="11" t="n">
        <f aca="false">SUMPRODUCT((L110&gt;'Tax Tables'!$A$5:$A$17)*(L110-'Tax Tables'!$A$5:$A$17)*'Tax Tables'!$C$5:$C$17)</f>
        <v>1075</v>
      </c>
      <c r="N110" s="11" t="n">
        <f aca="false">IF(H110&lt;0,-1E+099,A110-E110-M110+J110+(E110+F110)*Calculator!$B$9)</f>
        <v>356595</v>
      </c>
      <c r="O110" s="2"/>
      <c r="P110" s="11" t="n">
        <f aca="false">97*$B$3</f>
        <v>48500</v>
      </c>
      <c r="Q110" s="11" t="n">
        <f aca="false">MIN(P110,'Tax Tables'!$B$31*'Tax Tables'!$B$32)</f>
        <v>48500</v>
      </c>
      <c r="R110" s="11" t="n">
        <f aca="false">P110-Q110</f>
        <v>0</v>
      </c>
      <c r="S110" s="11" t="n">
        <f aca="false">IF(Calculator!$B$6="Yes",MIN(Q110,'Tax Tables'!$B$31*'Tax Tables'!$B$32),0)</f>
        <v>48500</v>
      </c>
      <c r="T110" s="11" t="n">
        <f aca="false">S110*Calculator!$B$7</f>
        <v>9700</v>
      </c>
      <c r="U110" s="11" t="n">
        <f aca="false">S110*Calculator!$B$8</f>
        <v>8245</v>
      </c>
      <c r="V110" s="11" t="n">
        <f aca="false">IF(Q110&gt;0,'Tax Tables'!$B$32*MIN(MAX(Q110/'Tax Tables'!$B$32*'Tax Tables'!$B$33,'Tax Tables'!$B$34),'Tax Tables'!$B$35),0)</f>
        <v>121.25</v>
      </c>
      <c r="W110" s="11" t="n">
        <f aca="false">Calculator!$B$5-P110-U110-V110</f>
        <v>343133.75</v>
      </c>
      <c r="X110" s="11" t="n">
        <f aca="false">'Tax Tables'!$B$22*(MAX(W110,0)-IF(Calculator!$B$10="Yes",MIN(MAX(W110,0),'Tax Tables'!$B$27)*'Tax Tables'!$B$28+MIN(MAX(MAX(W110,0)-'Tax Tables'!$B$27,0),'Tax Tables'!$B$29)*'Tax Tables'!$B$30,MIN(MAX(W110,0),'Tax Tables'!$B$23)*'Tax Tables'!$B$24+MIN(MAX(MAX(W110,0)-'Tax Tables'!$B$23,0),'Tax Tables'!$B$25)*'Tax Tables'!$B$26))*1-MIN('Tax Tables'!$B$22*(MAX(W110,0)-IF(Calculator!$B$10="Yes",MIN(MAX(W110,0),'Tax Tables'!$B$27)*'Tax Tables'!$B$28+MIN(MAX(MAX(W110,0)-'Tax Tables'!$B$27,0),'Tax Tables'!$B$29)*'Tax Tables'!$B$30,MIN(MAX(W110,0),'Tax Tables'!$B$23)*'Tax Tables'!$B$24+MIN(MAX(MAX(W110,0)-'Tax Tables'!$B$23,0),'Tax Tables'!$B$25)*'Tax Tables'!$B$26))*Calculator!$B$11,Calculator!$B$12)</f>
        <v>40907.7375</v>
      </c>
      <c r="Y110" s="11" t="n">
        <f aca="false">MAX(W110,0)-X110</f>
        <v>302226.0125</v>
      </c>
      <c r="Z110" s="11" t="n">
        <f aca="false">MIN(IF(P110&gt;0,Calculator!$B$13,0)+T110+Calculator!$B$14,'Tax Tables'!$B$36)</f>
        <v>10700</v>
      </c>
      <c r="AA110" s="11" t="n">
        <f aca="false">MAX(P110-Z110,0)</f>
        <v>37800</v>
      </c>
      <c r="AB110" s="11" t="n">
        <f aca="false">SUMPRODUCT((AA110&gt;'Tax Tables'!$A$5:$A$17)*(AA110-'Tax Tables'!$A$5:$A$17)*'Tax Tables'!$C$5:$C$17)</f>
        <v>473</v>
      </c>
      <c r="AC110" s="11" t="n">
        <f aca="false">IF(W110&lt;0,-1E+099,P110-T110-AB110+Y110+(T110+U110)*Calculator!$B$9)</f>
        <v>358498.0125</v>
      </c>
    </row>
    <row r="111" customFormat="false" ht="15" hidden="false" customHeight="false" outlineLevel="0" collapsed="false">
      <c r="A111" s="11" t="n">
        <f aca="false">98*$B$3</f>
        <v>49000</v>
      </c>
      <c r="B111" s="11" t="n">
        <f aca="false">0</f>
        <v>0</v>
      </c>
      <c r="C111" s="11" t="n">
        <f aca="false">A111-B111</f>
        <v>49000</v>
      </c>
      <c r="D111" s="11" t="n">
        <f aca="false">IF(Calculator!$B$6="Yes",MIN(B111,'Tax Tables'!$B$31*'Tax Tables'!$B$32),0)</f>
        <v>0</v>
      </c>
      <c r="E111" s="11" t="n">
        <f aca="false">D111*Calculator!$B$7</f>
        <v>0</v>
      </c>
      <c r="F111" s="11" t="n">
        <f aca="false">D111*Calculator!$B$8</f>
        <v>0</v>
      </c>
      <c r="G111" s="11" t="n">
        <f aca="false">IF(B111&gt;0,'Tax Tables'!$B$32*MIN(MAX(B111/'Tax Tables'!$B$32*'Tax Tables'!$B$33,'Tax Tables'!$B$34),'Tax Tables'!$B$35),0)</f>
        <v>0</v>
      </c>
      <c r="H111" s="11" t="n">
        <f aca="false">Calculator!$B$5-A111-F111-G111</f>
        <v>351000</v>
      </c>
      <c r="I111" s="11" t="n">
        <f aca="false">'Tax Tables'!$B$22*(MAX(H111,0)-IF(Calculator!$B$10="Yes",MIN(MAX(H111,0),'Tax Tables'!$B$27)*'Tax Tables'!$B$28+MIN(MAX(MAX(H111,0)-'Tax Tables'!$B$27,0),'Tax Tables'!$B$29)*'Tax Tables'!$B$30,MIN(MAX(H111,0),'Tax Tables'!$B$23)*'Tax Tables'!$B$24+MIN(MAX(MAX(H111,0)-'Tax Tables'!$B$23,0),'Tax Tables'!$B$25)*'Tax Tables'!$B$26))*1-MIN('Tax Tables'!$B$22*(MAX(H111,0)-IF(Calculator!$B$10="Yes",MIN(MAX(H111,0),'Tax Tables'!$B$27)*'Tax Tables'!$B$28+MIN(MAX(MAX(H111,0)-'Tax Tables'!$B$27,0),'Tax Tables'!$B$29)*'Tax Tables'!$B$30,MIN(MAX(H111,0),'Tax Tables'!$B$23)*'Tax Tables'!$B$24+MIN(MAX(MAX(H111,0)-'Tax Tables'!$B$23,0),'Tax Tables'!$B$25)*'Tax Tables'!$B$26))*Calculator!$B$11,Calculator!$B$12)</f>
        <v>42245</v>
      </c>
      <c r="J111" s="11" t="n">
        <f aca="false">MAX(H111,0)-I111</f>
        <v>308755</v>
      </c>
      <c r="K111" s="11" t="n">
        <f aca="false">MIN(IF(A111&gt;0,Calculator!$B$13,0)+E111+Calculator!$B$14,'Tax Tables'!$B$36)</f>
        <v>1000</v>
      </c>
      <c r="L111" s="11" t="n">
        <f aca="false">MAX(A111-K111,0)</f>
        <v>48000</v>
      </c>
      <c r="M111" s="11" t="n">
        <f aca="false">SUMPRODUCT((L111&gt;'Tax Tables'!$A$5:$A$17)*(L111-'Tax Tables'!$A$5:$A$17)*'Tax Tables'!$C$5:$C$17)</f>
        <v>1110</v>
      </c>
      <c r="N111" s="11" t="n">
        <f aca="false">IF(H111&lt;0,-1E+099,A111-E111-M111+J111+(E111+F111)*Calculator!$B$9)</f>
        <v>356645</v>
      </c>
      <c r="O111" s="2"/>
      <c r="P111" s="11" t="n">
        <f aca="false">98*$B$3</f>
        <v>49000</v>
      </c>
      <c r="Q111" s="11" t="n">
        <f aca="false">MIN(P111,'Tax Tables'!$B$31*'Tax Tables'!$B$32)</f>
        <v>49000</v>
      </c>
      <c r="R111" s="11" t="n">
        <f aca="false">P111-Q111</f>
        <v>0</v>
      </c>
      <c r="S111" s="11" t="n">
        <f aca="false">IF(Calculator!$B$6="Yes",MIN(Q111,'Tax Tables'!$B$31*'Tax Tables'!$B$32),0)</f>
        <v>49000</v>
      </c>
      <c r="T111" s="11" t="n">
        <f aca="false">S111*Calculator!$B$7</f>
        <v>9800</v>
      </c>
      <c r="U111" s="11" t="n">
        <f aca="false">S111*Calculator!$B$8</f>
        <v>8330</v>
      </c>
      <c r="V111" s="11" t="n">
        <f aca="false">IF(Q111&gt;0,'Tax Tables'!$B$32*MIN(MAX(Q111/'Tax Tables'!$B$32*'Tax Tables'!$B$33,'Tax Tables'!$B$34),'Tax Tables'!$B$35),0)</f>
        <v>122.5</v>
      </c>
      <c r="W111" s="11" t="n">
        <f aca="false">Calculator!$B$5-P111-U111-V111</f>
        <v>342547.5</v>
      </c>
      <c r="X111" s="11" t="n">
        <f aca="false">'Tax Tables'!$B$22*(MAX(W111,0)-IF(Calculator!$B$10="Yes",MIN(MAX(W111,0),'Tax Tables'!$B$27)*'Tax Tables'!$B$28+MIN(MAX(MAX(W111,0)-'Tax Tables'!$B$27,0),'Tax Tables'!$B$29)*'Tax Tables'!$B$30,MIN(MAX(W111,0),'Tax Tables'!$B$23)*'Tax Tables'!$B$24+MIN(MAX(MAX(W111,0)-'Tax Tables'!$B$23,0),'Tax Tables'!$B$25)*'Tax Tables'!$B$26))*1-MIN('Tax Tables'!$B$22*(MAX(W111,0)-IF(Calculator!$B$10="Yes",MIN(MAX(W111,0),'Tax Tables'!$B$27)*'Tax Tables'!$B$28+MIN(MAX(MAX(W111,0)-'Tax Tables'!$B$27,0),'Tax Tables'!$B$29)*'Tax Tables'!$B$30,MIN(MAX(W111,0),'Tax Tables'!$B$23)*'Tax Tables'!$B$24+MIN(MAX(MAX(W111,0)-'Tax Tables'!$B$23,0),'Tax Tables'!$B$25)*'Tax Tables'!$B$26))*Calculator!$B$11,Calculator!$B$12)</f>
        <v>40808.075</v>
      </c>
      <c r="Y111" s="11" t="n">
        <f aca="false">MAX(W111,0)-X111</f>
        <v>301739.425</v>
      </c>
      <c r="Z111" s="11" t="n">
        <f aca="false">MIN(IF(P111&gt;0,Calculator!$B$13,0)+T111+Calculator!$B$14,'Tax Tables'!$B$36)</f>
        <v>10800</v>
      </c>
      <c r="AA111" s="11" t="n">
        <f aca="false">MAX(P111-Z111,0)</f>
        <v>38200</v>
      </c>
      <c r="AB111" s="11" t="n">
        <f aca="false">SUMPRODUCT((AA111&gt;'Tax Tables'!$A$5:$A$17)*(AA111-'Tax Tables'!$A$5:$A$17)*'Tax Tables'!$C$5:$C$17)</f>
        <v>487</v>
      </c>
      <c r="AC111" s="11" t="n">
        <f aca="false">IF(W111&lt;0,-1E+099,P111-T111-AB111+Y111+(T111+U111)*Calculator!$B$9)</f>
        <v>358582.425</v>
      </c>
    </row>
    <row r="112" customFormat="false" ht="15" hidden="false" customHeight="false" outlineLevel="0" collapsed="false">
      <c r="A112" s="11" t="n">
        <f aca="false">99*$B$3</f>
        <v>49500</v>
      </c>
      <c r="B112" s="11" t="n">
        <f aca="false">0</f>
        <v>0</v>
      </c>
      <c r="C112" s="11" t="n">
        <f aca="false">A112-B112</f>
        <v>49500</v>
      </c>
      <c r="D112" s="11" t="n">
        <f aca="false">IF(Calculator!$B$6="Yes",MIN(B112,'Tax Tables'!$B$31*'Tax Tables'!$B$32),0)</f>
        <v>0</v>
      </c>
      <c r="E112" s="11" t="n">
        <f aca="false">D112*Calculator!$B$7</f>
        <v>0</v>
      </c>
      <c r="F112" s="11" t="n">
        <f aca="false">D112*Calculator!$B$8</f>
        <v>0</v>
      </c>
      <c r="G112" s="11" t="n">
        <f aca="false">IF(B112&gt;0,'Tax Tables'!$B$32*MIN(MAX(B112/'Tax Tables'!$B$32*'Tax Tables'!$B$33,'Tax Tables'!$B$34),'Tax Tables'!$B$35),0)</f>
        <v>0</v>
      </c>
      <c r="H112" s="11" t="n">
        <f aca="false">Calculator!$B$5-A112-F112-G112</f>
        <v>350500</v>
      </c>
      <c r="I112" s="11" t="n">
        <f aca="false">'Tax Tables'!$B$22*(MAX(H112,0)-IF(Calculator!$B$10="Yes",MIN(MAX(H112,0),'Tax Tables'!$B$27)*'Tax Tables'!$B$28+MIN(MAX(MAX(H112,0)-'Tax Tables'!$B$27,0),'Tax Tables'!$B$29)*'Tax Tables'!$B$30,MIN(MAX(H112,0),'Tax Tables'!$B$23)*'Tax Tables'!$B$24+MIN(MAX(MAX(H112,0)-'Tax Tables'!$B$23,0),'Tax Tables'!$B$25)*'Tax Tables'!$B$26))*1-MIN('Tax Tables'!$B$22*(MAX(H112,0)-IF(Calculator!$B$10="Yes",MIN(MAX(H112,0),'Tax Tables'!$B$27)*'Tax Tables'!$B$28+MIN(MAX(MAX(H112,0)-'Tax Tables'!$B$27,0),'Tax Tables'!$B$29)*'Tax Tables'!$B$30,MIN(MAX(H112,0),'Tax Tables'!$B$23)*'Tax Tables'!$B$24+MIN(MAX(MAX(H112,0)-'Tax Tables'!$B$23,0),'Tax Tables'!$B$25)*'Tax Tables'!$B$26))*Calculator!$B$11,Calculator!$B$12)</f>
        <v>42160</v>
      </c>
      <c r="J112" s="11" t="n">
        <f aca="false">MAX(H112,0)-I112</f>
        <v>308340</v>
      </c>
      <c r="K112" s="11" t="n">
        <f aca="false">MIN(IF(A112&gt;0,Calculator!$B$13,0)+E112+Calculator!$B$14,'Tax Tables'!$B$36)</f>
        <v>1000</v>
      </c>
      <c r="L112" s="11" t="n">
        <f aca="false">MAX(A112-K112,0)</f>
        <v>48500</v>
      </c>
      <c r="M112" s="11" t="n">
        <f aca="false">SUMPRODUCT((L112&gt;'Tax Tables'!$A$5:$A$17)*(L112-'Tax Tables'!$A$5:$A$17)*'Tax Tables'!$C$5:$C$17)</f>
        <v>1145</v>
      </c>
      <c r="N112" s="11" t="n">
        <f aca="false">IF(H112&lt;0,-1E+099,A112-E112-M112+J112+(E112+F112)*Calculator!$B$9)</f>
        <v>356695</v>
      </c>
      <c r="O112" s="2"/>
      <c r="P112" s="11" t="n">
        <f aca="false">99*$B$3</f>
        <v>49500</v>
      </c>
      <c r="Q112" s="11" t="n">
        <f aca="false">MIN(P112,'Tax Tables'!$B$31*'Tax Tables'!$B$32)</f>
        <v>49500</v>
      </c>
      <c r="R112" s="11" t="n">
        <f aca="false">P112-Q112</f>
        <v>0</v>
      </c>
      <c r="S112" s="11" t="n">
        <f aca="false">IF(Calculator!$B$6="Yes",MIN(Q112,'Tax Tables'!$B$31*'Tax Tables'!$B$32),0)</f>
        <v>49500</v>
      </c>
      <c r="T112" s="11" t="n">
        <f aca="false">S112*Calculator!$B$7</f>
        <v>9900</v>
      </c>
      <c r="U112" s="11" t="n">
        <f aca="false">S112*Calculator!$B$8</f>
        <v>8415</v>
      </c>
      <c r="V112" s="11" t="n">
        <f aca="false">IF(Q112&gt;0,'Tax Tables'!$B$32*MIN(MAX(Q112/'Tax Tables'!$B$32*'Tax Tables'!$B$33,'Tax Tables'!$B$34),'Tax Tables'!$B$35),0)</f>
        <v>123.75</v>
      </c>
      <c r="W112" s="11" t="n">
        <f aca="false">Calculator!$B$5-P112-U112-V112</f>
        <v>341961.25</v>
      </c>
      <c r="X112" s="11" t="n">
        <f aca="false">'Tax Tables'!$B$22*(MAX(W112,0)-IF(Calculator!$B$10="Yes",MIN(MAX(W112,0),'Tax Tables'!$B$27)*'Tax Tables'!$B$28+MIN(MAX(MAX(W112,0)-'Tax Tables'!$B$27,0),'Tax Tables'!$B$29)*'Tax Tables'!$B$30,MIN(MAX(W112,0),'Tax Tables'!$B$23)*'Tax Tables'!$B$24+MIN(MAX(MAX(W112,0)-'Tax Tables'!$B$23,0),'Tax Tables'!$B$25)*'Tax Tables'!$B$26))*1-MIN('Tax Tables'!$B$22*(MAX(W112,0)-IF(Calculator!$B$10="Yes",MIN(MAX(W112,0),'Tax Tables'!$B$27)*'Tax Tables'!$B$28+MIN(MAX(MAX(W112,0)-'Tax Tables'!$B$27,0),'Tax Tables'!$B$29)*'Tax Tables'!$B$30,MIN(MAX(W112,0),'Tax Tables'!$B$23)*'Tax Tables'!$B$24+MIN(MAX(MAX(W112,0)-'Tax Tables'!$B$23,0),'Tax Tables'!$B$25)*'Tax Tables'!$B$26))*Calculator!$B$11,Calculator!$B$12)</f>
        <v>40708.4125</v>
      </c>
      <c r="Y112" s="11" t="n">
        <f aca="false">MAX(W112,0)-X112</f>
        <v>301252.8375</v>
      </c>
      <c r="Z112" s="11" t="n">
        <f aca="false">MIN(IF(P112&gt;0,Calculator!$B$13,0)+T112+Calculator!$B$14,'Tax Tables'!$B$36)</f>
        <v>10900</v>
      </c>
      <c r="AA112" s="11" t="n">
        <f aca="false">MAX(P112-Z112,0)</f>
        <v>38600</v>
      </c>
      <c r="AB112" s="11" t="n">
        <f aca="false">SUMPRODUCT((AA112&gt;'Tax Tables'!$A$5:$A$17)*(AA112-'Tax Tables'!$A$5:$A$17)*'Tax Tables'!$C$5:$C$17)</f>
        <v>501</v>
      </c>
      <c r="AC112" s="11" t="n">
        <f aca="false">IF(W112&lt;0,-1E+099,P112-T112-AB112+Y112+(T112+U112)*Calculator!$B$9)</f>
        <v>358666.8375</v>
      </c>
    </row>
    <row r="113" customFormat="false" ht="15" hidden="false" customHeight="false" outlineLevel="0" collapsed="false">
      <c r="A113" s="11" t="n">
        <f aca="false">100*$B$3</f>
        <v>50000</v>
      </c>
      <c r="B113" s="11" t="n">
        <f aca="false">0</f>
        <v>0</v>
      </c>
      <c r="C113" s="11" t="n">
        <f aca="false">A113-B113</f>
        <v>50000</v>
      </c>
      <c r="D113" s="11" t="n">
        <f aca="false">IF(Calculator!$B$6="Yes",MIN(B113,'Tax Tables'!$B$31*'Tax Tables'!$B$32),0)</f>
        <v>0</v>
      </c>
      <c r="E113" s="11" t="n">
        <f aca="false">D113*Calculator!$B$7</f>
        <v>0</v>
      </c>
      <c r="F113" s="11" t="n">
        <f aca="false">D113*Calculator!$B$8</f>
        <v>0</v>
      </c>
      <c r="G113" s="11" t="n">
        <f aca="false">IF(B113&gt;0,'Tax Tables'!$B$32*MIN(MAX(B113/'Tax Tables'!$B$32*'Tax Tables'!$B$33,'Tax Tables'!$B$34),'Tax Tables'!$B$35),0)</f>
        <v>0</v>
      </c>
      <c r="H113" s="11" t="n">
        <f aca="false">Calculator!$B$5-A113-F113-G113</f>
        <v>350000</v>
      </c>
      <c r="I113" s="11" t="n">
        <f aca="false">'Tax Tables'!$B$22*(MAX(H113,0)-IF(Calculator!$B$10="Yes",MIN(MAX(H113,0),'Tax Tables'!$B$27)*'Tax Tables'!$B$28+MIN(MAX(MAX(H113,0)-'Tax Tables'!$B$27,0),'Tax Tables'!$B$29)*'Tax Tables'!$B$30,MIN(MAX(H113,0),'Tax Tables'!$B$23)*'Tax Tables'!$B$24+MIN(MAX(MAX(H113,0)-'Tax Tables'!$B$23,0),'Tax Tables'!$B$25)*'Tax Tables'!$B$26))*1-MIN('Tax Tables'!$B$22*(MAX(H113,0)-IF(Calculator!$B$10="Yes",MIN(MAX(H113,0),'Tax Tables'!$B$27)*'Tax Tables'!$B$28+MIN(MAX(MAX(H113,0)-'Tax Tables'!$B$27,0),'Tax Tables'!$B$29)*'Tax Tables'!$B$30,MIN(MAX(H113,0),'Tax Tables'!$B$23)*'Tax Tables'!$B$24+MIN(MAX(MAX(H113,0)-'Tax Tables'!$B$23,0),'Tax Tables'!$B$25)*'Tax Tables'!$B$26))*Calculator!$B$11,Calculator!$B$12)</f>
        <v>42075</v>
      </c>
      <c r="J113" s="11" t="n">
        <f aca="false">MAX(H113,0)-I113</f>
        <v>307925</v>
      </c>
      <c r="K113" s="11" t="n">
        <f aca="false">MIN(IF(A113&gt;0,Calculator!$B$13,0)+E113+Calculator!$B$14,'Tax Tables'!$B$36)</f>
        <v>1000</v>
      </c>
      <c r="L113" s="11" t="n">
        <f aca="false">MAX(A113-K113,0)</f>
        <v>49000</v>
      </c>
      <c r="M113" s="11" t="n">
        <f aca="false">SUMPRODUCT((L113&gt;'Tax Tables'!$A$5:$A$17)*(L113-'Tax Tables'!$A$5:$A$17)*'Tax Tables'!$C$5:$C$17)</f>
        <v>1180</v>
      </c>
      <c r="N113" s="11" t="n">
        <f aca="false">IF(H113&lt;0,-1E+099,A113-E113-M113+J113+(E113+F113)*Calculator!$B$9)</f>
        <v>356745</v>
      </c>
      <c r="O113" s="2"/>
      <c r="P113" s="11" t="n">
        <f aca="false">100*$B$3</f>
        <v>50000</v>
      </c>
      <c r="Q113" s="11" t="n">
        <f aca="false">MIN(P113,'Tax Tables'!$B$31*'Tax Tables'!$B$32)</f>
        <v>50000</v>
      </c>
      <c r="R113" s="11" t="n">
        <f aca="false">P113-Q113</f>
        <v>0</v>
      </c>
      <c r="S113" s="11" t="n">
        <f aca="false">IF(Calculator!$B$6="Yes",MIN(Q113,'Tax Tables'!$B$31*'Tax Tables'!$B$32),0)</f>
        <v>50000</v>
      </c>
      <c r="T113" s="11" t="n">
        <f aca="false">S113*Calculator!$B$7</f>
        <v>10000</v>
      </c>
      <c r="U113" s="11" t="n">
        <f aca="false">S113*Calculator!$B$8</f>
        <v>8500</v>
      </c>
      <c r="V113" s="11" t="n">
        <f aca="false">IF(Q113&gt;0,'Tax Tables'!$B$32*MIN(MAX(Q113/'Tax Tables'!$B$32*'Tax Tables'!$B$33,'Tax Tables'!$B$34),'Tax Tables'!$B$35),0)</f>
        <v>125</v>
      </c>
      <c r="W113" s="11" t="n">
        <f aca="false">Calculator!$B$5-P113-U113-V113</f>
        <v>341375</v>
      </c>
      <c r="X113" s="11" t="n">
        <f aca="false">'Tax Tables'!$B$22*(MAX(W113,0)-IF(Calculator!$B$10="Yes",MIN(MAX(W113,0),'Tax Tables'!$B$27)*'Tax Tables'!$B$28+MIN(MAX(MAX(W113,0)-'Tax Tables'!$B$27,0),'Tax Tables'!$B$29)*'Tax Tables'!$B$30,MIN(MAX(W113,0),'Tax Tables'!$B$23)*'Tax Tables'!$B$24+MIN(MAX(MAX(W113,0)-'Tax Tables'!$B$23,0),'Tax Tables'!$B$25)*'Tax Tables'!$B$26))*1-MIN('Tax Tables'!$B$22*(MAX(W113,0)-IF(Calculator!$B$10="Yes",MIN(MAX(W113,0),'Tax Tables'!$B$27)*'Tax Tables'!$B$28+MIN(MAX(MAX(W113,0)-'Tax Tables'!$B$27,0),'Tax Tables'!$B$29)*'Tax Tables'!$B$30,MIN(MAX(W113,0),'Tax Tables'!$B$23)*'Tax Tables'!$B$24+MIN(MAX(MAX(W113,0)-'Tax Tables'!$B$23,0),'Tax Tables'!$B$25)*'Tax Tables'!$B$26))*Calculator!$B$11,Calculator!$B$12)</f>
        <v>40608.75</v>
      </c>
      <c r="Y113" s="11" t="n">
        <f aca="false">MAX(W113,0)-X113</f>
        <v>300766.25</v>
      </c>
      <c r="Z113" s="11" t="n">
        <f aca="false">MIN(IF(P113&gt;0,Calculator!$B$13,0)+T113+Calculator!$B$14,'Tax Tables'!$B$36)</f>
        <v>11000</v>
      </c>
      <c r="AA113" s="11" t="n">
        <f aca="false">MAX(P113-Z113,0)</f>
        <v>39000</v>
      </c>
      <c r="AB113" s="11" t="n">
        <f aca="false">SUMPRODUCT((AA113&gt;'Tax Tables'!$A$5:$A$17)*(AA113-'Tax Tables'!$A$5:$A$17)*'Tax Tables'!$C$5:$C$17)</f>
        <v>515</v>
      </c>
      <c r="AC113" s="11" t="n">
        <f aca="false">IF(W113&lt;0,-1E+099,P113-T113-AB113+Y113+(T113+U113)*Calculator!$B$9)</f>
        <v>358751.25</v>
      </c>
    </row>
    <row r="114" customFormat="false" ht="15" hidden="false" customHeight="false" outlineLevel="0" collapsed="false">
      <c r="A114" s="11" t="n">
        <f aca="false">101*$B$3</f>
        <v>50500</v>
      </c>
      <c r="B114" s="11" t="n">
        <f aca="false">0</f>
        <v>0</v>
      </c>
      <c r="C114" s="11" t="n">
        <f aca="false">A114-B114</f>
        <v>50500</v>
      </c>
      <c r="D114" s="11" t="n">
        <f aca="false">IF(Calculator!$B$6="Yes",MIN(B114,'Tax Tables'!$B$31*'Tax Tables'!$B$32),0)</f>
        <v>0</v>
      </c>
      <c r="E114" s="11" t="n">
        <f aca="false">D114*Calculator!$B$7</f>
        <v>0</v>
      </c>
      <c r="F114" s="11" t="n">
        <f aca="false">D114*Calculator!$B$8</f>
        <v>0</v>
      </c>
      <c r="G114" s="11" t="n">
        <f aca="false">IF(B114&gt;0,'Tax Tables'!$B$32*MIN(MAX(B114/'Tax Tables'!$B$32*'Tax Tables'!$B$33,'Tax Tables'!$B$34),'Tax Tables'!$B$35),0)</f>
        <v>0</v>
      </c>
      <c r="H114" s="11" t="n">
        <f aca="false">Calculator!$B$5-A114-F114-G114</f>
        <v>349500</v>
      </c>
      <c r="I114" s="11" t="n">
        <f aca="false">'Tax Tables'!$B$22*(MAX(H114,0)-IF(Calculator!$B$10="Yes",MIN(MAX(H114,0),'Tax Tables'!$B$27)*'Tax Tables'!$B$28+MIN(MAX(MAX(H114,0)-'Tax Tables'!$B$27,0),'Tax Tables'!$B$29)*'Tax Tables'!$B$30,MIN(MAX(H114,0),'Tax Tables'!$B$23)*'Tax Tables'!$B$24+MIN(MAX(MAX(H114,0)-'Tax Tables'!$B$23,0),'Tax Tables'!$B$25)*'Tax Tables'!$B$26))*1-MIN('Tax Tables'!$B$22*(MAX(H114,0)-IF(Calculator!$B$10="Yes",MIN(MAX(H114,0),'Tax Tables'!$B$27)*'Tax Tables'!$B$28+MIN(MAX(MAX(H114,0)-'Tax Tables'!$B$27,0),'Tax Tables'!$B$29)*'Tax Tables'!$B$30,MIN(MAX(H114,0),'Tax Tables'!$B$23)*'Tax Tables'!$B$24+MIN(MAX(MAX(H114,0)-'Tax Tables'!$B$23,0),'Tax Tables'!$B$25)*'Tax Tables'!$B$26))*Calculator!$B$11,Calculator!$B$12)</f>
        <v>41990</v>
      </c>
      <c r="J114" s="11" t="n">
        <f aca="false">MAX(H114,0)-I114</f>
        <v>307510</v>
      </c>
      <c r="K114" s="11" t="n">
        <f aca="false">MIN(IF(A114&gt;0,Calculator!$B$13,0)+E114+Calculator!$B$14,'Tax Tables'!$B$36)</f>
        <v>1000</v>
      </c>
      <c r="L114" s="11" t="n">
        <f aca="false">MAX(A114-K114,0)</f>
        <v>49500</v>
      </c>
      <c r="M114" s="11" t="n">
        <f aca="false">SUMPRODUCT((L114&gt;'Tax Tables'!$A$5:$A$17)*(L114-'Tax Tables'!$A$5:$A$17)*'Tax Tables'!$C$5:$C$17)</f>
        <v>1215</v>
      </c>
      <c r="N114" s="11" t="n">
        <f aca="false">IF(H114&lt;0,-1E+099,A114-E114-M114+J114+(E114+F114)*Calculator!$B$9)</f>
        <v>356795</v>
      </c>
      <c r="O114" s="2"/>
      <c r="P114" s="11" t="n">
        <f aca="false">101*$B$3</f>
        <v>50500</v>
      </c>
      <c r="Q114" s="11" t="n">
        <f aca="false">MIN(P114,'Tax Tables'!$B$31*'Tax Tables'!$B$32)</f>
        <v>50500</v>
      </c>
      <c r="R114" s="11" t="n">
        <f aca="false">P114-Q114</f>
        <v>0</v>
      </c>
      <c r="S114" s="11" t="n">
        <f aca="false">IF(Calculator!$B$6="Yes",MIN(Q114,'Tax Tables'!$B$31*'Tax Tables'!$B$32),0)</f>
        <v>50500</v>
      </c>
      <c r="T114" s="11" t="n">
        <f aca="false">S114*Calculator!$B$7</f>
        <v>10100</v>
      </c>
      <c r="U114" s="11" t="n">
        <f aca="false">S114*Calculator!$B$8</f>
        <v>8585</v>
      </c>
      <c r="V114" s="11" t="n">
        <f aca="false">IF(Q114&gt;0,'Tax Tables'!$B$32*MIN(MAX(Q114/'Tax Tables'!$B$32*'Tax Tables'!$B$33,'Tax Tables'!$B$34),'Tax Tables'!$B$35),0)</f>
        <v>126.25</v>
      </c>
      <c r="W114" s="11" t="n">
        <f aca="false">Calculator!$B$5-P114-U114-V114</f>
        <v>340788.75</v>
      </c>
      <c r="X114" s="11" t="n">
        <f aca="false">'Tax Tables'!$B$22*(MAX(W114,0)-IF(Calculator!$B$10="Yes",MIN(MAX(W114,0),'Tax Tables'!$B$27)*'Tax Tables'!$B$28+MIN(MAX(MAX(W114,0)-'Tax Tables'!$B$27,0),'Tax Tables'!$B$29)*'Tax Tables'!$B$30,MIN(MAX(W114,0),'Tax Tables'!$B$23)*'Tax Tables'!$B$24+MIN(MAX(MAX(W114,0)-'Tax Tables'!$B$23,0),'Tax Tables'!$B$25)*'Tax Tables'!$B$26))*1-MIN('Tax Tables'!$B$22*(MAX(W114,0)-IF(Calculator!$B$10="Yes",MIN(MAX(W114,0),'Tax Tables'!$B$27)*'Tax Tables'!$B$28+MIN(MAX(MAX(W114,0)-'Tax Tables'!$B$27,0),'Tax Tables'!$B$29)*'Tax Tables'!$B$30,MIN(MAX(W114,0),'Tax Tables'!$B$23)*'Tax Tables'!$B$24+MIN(MAX(MAX(W114,0)-'Tax Tables'!$B$23,0),'Tax Tables'!$B$25)*'Tax Tables'!$B$26))*Calculator!$B$11,Calculator!$B$12)</f>
        <v>40509.0875</v>
      </c>
      <c r="Y114" s="11" t="n">
        <f aca="false">MAX(W114,0)-X114</f>
        <v>300279.6625</v>
      </c>
      <c r="Z114" s="11" t="n">
        <f aca="false">MIN(IF(P114&gt;0,Calculator!$B$13,0)+T114+Calculator!$B$14,'Tax Tables'!$B$36)</f>
        <v>11100</v>
      </c>
      <c r="AA114" s="11" t="n">
        <f aca="false">MAX(P114-Z114,0)</f>
        <v>39400</v>
      </c>
      <c r="AB114" s="11" t="n">
        <f aca="false">SUMPRODUCT((AA114&gt;'Tax Tables'!$A$5:$A$17)*(AA114-'Tax Tables'!$A$5:$A$17)*'Tax Tables'!$C$5:$C$17)</f>
        <v>529</v>
      </c>
      <c r="AC114" s="11" t="n">
        <f aca="false">IF(W114&lt;0,-1E+099,P114-T114-AB114+Y114+(T114+U114)*Calculator!$B$9)</f>
        <v>358835.6625</v>
      </c>
    </row>
    <row r="115" customFormat="false" ht="15" hidden="false" customHeight="false" outlineLevel="0" collapsed="false">
      <c r="A115" s="11" t="n">
        <f aca="false">102*$B$3</f>
        <v>51000</v>
      </c>
      <c r="B115" s="11" t="n">
        <f aca="false">0</f>
        <v>0</v>
      </c>
      <c r="C115" s="11" t="n">
        <f aca="false">A115-B115</f>
        <v>51000</v>
      </c>
      <c r="D115" s="11" t="n">
        <f aca="false">IF(Calculator!$B$6="Yes",MIN(B115,'Tax Tables'!$B$31*'Tax Tables'!$B$32),0)</f>
        <v>0</v>
      </c>
      <c r="E115" s="11" t="n">
        <f aca="false">D115*Calculator!$B$7</f>
        <v>0</v>
      </c>
      <c r="F115" s="11" t="n">
        <f aca="false">D115*Calculator!$B$8</f>
        <v>0</v>
      </c>
      <c r="G115" s="11" t="n">
        <f aca="false">IF(B115&gt;0,'Tax Tables'!$B$32*MIN(MAX(B115/'Tax Tables'!$B$32*'Tax Tables'!$B$33,'Tax Tables'!$B$34),'Tax Tables'!$B$35),0)</f>
        <v>0</v>
      </c>
      <c r="H115" s="11" t="n">
        <f aca="false">Calculator!$B$5-A115-F115-G115</f>
        <v>349000</v>
      </c>
      <c r="I115" s="11" t="n">
        <f aca="false">'Tax Tables'!$B$22*(MAX(H115,0)-IF(Calculator!$B$10="Yes",MIN(MAX(H115,0),'Tax Tables'!$B$27)*'Tax Tables'!$B$28+MIN(MAX(MAX(H115,0)-'Tax Tables'!$B$27,0),'Tax Tables'!$B$29)*'Tax Tables'!$B$30,MIN(MAX(H115,0),'Tax Tables'!$B$23)*'Tax Tables'!$B$24+MIN(MAX(MAX(H115,0)-'Tax Tables'!$B$23,0),'Tax Tables'!$B$25)*'Tax Tables'!$B$26))*1-MIN('Tax Tables'!$B$22*(MAX(H115,0)-IF(Calculator!$B$10="Yes",MIN(MAX(H115,0),'Tax Tables'!$B$27)*'Tax Tables'!$B$28+MIN(MAX(MAX(H115,0)-'Tax Tables'!$B$27,0),'Tax Tables'!$B$29)*'Tax Tables'!$B$30,MIN(MAX(H115,0),'Tax Tables'!$B$23)*'Tax Tables'!$B$24+MIN(MAX(MAX(H115,0)-'Tax Tables'!$B$23,0),'Tax Tables'!$B$25)*'Tax Tables'!$B$26))*Calculator!$B$11,Calculator!$B$12)</f>
        <v>41905</v>
      </c>
      <c r="J115" s="11" t="n">
        <f aca="false">MAX(H115,0)-I115</f>
        <v>307095</v>
      </c>
      <c r="K115" s="11" t="n">
        <f aca="false">MIN(IF(A115&gt;0,Calculator!$B$13,0)+E115+Calculator!$B$14,'Tax Tables'!$B$36)</f>
        <v>1000</v>
      </c>
      <c r="L115" s="11" t="n">
        <f aca="false">MAX(A115-K115,0)</f>
        <v>50000</v>
      </c>
      <c r="M115" s="11" t="n">
        <f aca="false">SUMPRODUCT((L115&gt;'Tax Tables'!$A$5:$A$17)*(L115-'Tax Tables'!$A$5:$A$17)*'Tax Tables'!$C$5:$C$17)</f>
        <v>1250</v>
      </c>
      <c r="N115" s="11" t="n">
        <f aca="false">IF(H115&lt;0,-1E+099,A115-E115-M115+J115+(E115+F115)*Calculator!$B$9)</f>
        <v>356845</v>
      </c>
      <c r="O115" s="2"/>
      <c r="P115" s="11" t="n">
        <f aca="false">102*$B$3</f>
        <v>51000</v>
      </c>
      <c r="Q115" s="11" t="n">
        <f aca="false">MIN(P115,'Tax Tables'!$B$31*'Tax Tables'!$B$32)</f>
        <v>51000</v>
      </c>
      <c r="R115" s="11" t="n">
        <f aca="false">P115-Q115</f>
        <v>0</v>
      </c>
      <c r="S115" s="11" t="n">
        <f aca="false">IF(Calculator!$B$6="Yes",MIN(Q115,'Tax Tables'!$B$31*'Tax Tables'!$B$32),0)</f>
        <v>51000</v>
      </c>
      <c r="T115" s="11" t="n">
        <f aca="false">S115*Calculator!$B$7</f>
        <v>10200</v>
      </c>
      <c r="U115" s="11" t="n">
        <f aca="false">S115*Calculator!$B$8</f>
        <v>8670</v>
      </c>
      <c r="V115" s="11" t="n">
        <f aca="false">IF(Q115&gt;0,'Tax Tables'!$B$32*MIN(MAX(Q115/'Tax Tables'!$B$32*'Tax Tables'!$B$33,'Tax Tables'!$B$34),'Tax Tables'!$B$35),0)</f>
        <v>127.5</v>
      </c>
      <c r="W115" s="11" t="n">
        <f aca="false">Calculator!$B$5-P115-U115-V115</f>
        <v>340202.5</v>
      </c>
      <c r="X115" s="11" t="n">
        <f aca="false">'Tax Tables'!$B$22*(MAX(W115,0)-IF(Calculator!$B$10="Yes",MIN(MAX(W115,0),'Tax Tables'!$B$27)*'Tax Tables'!$B$28+MIN(MAX(MAX(W115,0)-'Tax Tables'!$B$27,0),'Tax Tables'!$B$29)*'Tax Tables'!$B$30,MIN(MAX(W115,0),'Tax Tables'!$B$23)*'Tax Tables'!$B$24+MIN(MAX(MAX(W115,0)-'Tax Tables'!$B$23,0),'Tax Tables'!$B$25)*'Tax Tables'!$B$26))*1-MIN('Tax Tables'!$B$22*(MAX(W115,0)-IF(Calculator!$B$10="Yes",MIN(MAX(W115,0),'Tax Tables'!$B$27)*'Tax Tables'!$B$28+MIN(MAX(MAX(W115,0)-'Tax Tables'!$B$27,0),'Tax Tables'!$B$29)*'Tax Tables'!$B$30,MIN(MAX(W115,0),'Tax Tables'!$B$23)*'Tax Tables'!$B$24+MIN(MAX(MAX(W115,0)-'Tax Tables'!$B$23,0),'Tax Tables'!$B$25)*'Tax Tables'!$B$26))*Calculator!$B$11,Calculator!$B$12)</f>
        <v>40409.425</v>
      </c>
      <c r="Y115" s="11" t="n">
        <f aca="false">MAX(W115,0)-X115</f>
        <v>299793.075</v>
      </c>
      <c r="Z115" s="11" t="n">
        <f aca="false">MIN(IF(P115&gt;0,Calculator!$B$13,0)+T115+Calculator!$B$14,'Tax Tables'!$B$36)</f>
        <v>11200</v>
      </c>
      <c r="AA115" s="11" t="n">
        <f aca="false">MAX(P115-Z115,0)</f>
        <v>39800</v>
      </c>
      <c r="AB115" s="11" t="n">
        <f aca="false">SUMPRODUCT((AA115&gt;'Tax Tables'!$A$5:$A$17)*(AA115-'Tax Tables'!$A$5:$A$17)*'Tax Tables'!$C$5:$C$17)</f>
        <v>543</v>
      </c>
      <c r="AC115" s="11" t="n">
        <f aca="false">IF(W115&lt;0,-1E+099,P115-T115-AB115+Y115+(T115+U115)*Calculator!$B$9)</f>
        <v>358920.075</v>
      </c>
    </row>
    <row r="116" customFormat="false" ht="15" hidden="false" customHeight="false" outlineLevel="0" collapsed="false">
      <c r="A116" s="11" t="n">
        <f aca="false">103*$B$3</f>
        <v>51500</v>
      </c>
      <c r="B116" s="11" t="n">
        <f aca="false">0</f>
        <v>0</v>
      </c>
      <c r="C116" s="11" t="n">
        <f aca="false">A116-B116</f>
        <v>51500</v>
      </c>
      <c r="D116" s="11" t="n">
        <f aca="false">IF(Calculator!$B$6="Yes",MIN(B116,'Tax Tables'!$B$31*'Tax Tables'!$B$32),0)</f>
        <v>0</v>
      </c>
      <c r="E116" s="11" t="n">
        <f aca="false">D116*Calculator!$B$7</f>
        <v>0</v>
      </c>
      <c r="F116" s="11" t="n">
        <f aca="false">D116*Calculator!$B$8</f>
        <v>0</v>
      </c>
      <c r="G116" s="11" t="n">
        <f aca="false">IF(B116&gt;0,'Tax Tables'!$B$32*MIN(MAX(B116/'Tax Tables'!$B$32*'Tax Tables'!$B$33,'Tax Tables'!$B$34),'Tax Tables'!$B$35),0)</f>
        <v>0</v>
      </c>
      <c r="H116" s="11" t="n">
        <f aca="false">Calculator!$B$5-A116-F116-G116</f>
        <v>348500</v>
      </c>
      <c r="I116" s="11" t="n">
        <f aca="false">'Tax Tables'!$B$22*(MAX(H116,0)-IF(Calculator!$B$10="Yes",MIN(MAX(H116,0),'Tax Tables'!$B$27)*'Tax Tables'!$B$28+MIN(MAX(MAX(H116,0)-'Tax Tables'!$B$27,0),'Tax Tables'!$B$29)*'Tax Tables'!$B$30,MIN(MAX(H116,0),'Tax Tables'!$B$23)*'Tax Tables'!$B$24+MIN(MAX(MAX(H116,0)-'Tax Tables'!$B$23,0),'Tax Tables'!$B$25)*'Tax Tables'!$B$26))*1-MIN('Tax Tables'!$B$22*(MAX(H116,0)-IF(Calculator!$B$10="Yes",MIN(MAX(H116,0),'Tax Tables'!$B$27)*'Tax Tables'!$B$28+MIN(MAX(MAX(H116,0)-'Tax Tables'!$B$27,0),'Tax Tables'!$B$29)*'Tax Tables'!$B$30,MIN(MAX(H116,0),'Tax Tables'!$B$23)*'Tax Tables'!$B$24+MIN(MAX(MAX(H116,0)-'Tax Tables'!$B$23,0),'Tax Tables'!$B$25)*'Tax Tables'!$B$26))*Calculator!$B$11,Calculator!$B$12)</f>
        <v>41820</v>
      </c>
      <c r="J116" s="11" t="n">
        <f aca="false">MAX(H116,0)-I116</f>
        <v>306680</v>
      </c>
      <c r="K116" s="11" t="n">
        <f aca="false">MIN(IF(A116&gt;0,Calculator!$B$13,0)+E116+Calculator!$B$14,'Tax Tables'!$B$36)</f>
        <v>1000</v>
      </c>
      <c r="L116" s="11" t="n">
        <f aca="false">MAX(A116-K116,0)</f>
        <v>50500</v>
      </c>
      <c r="M116" s="11" t="n">
        <f aca="false">SUMPRODUCT((L116&gt;'Tax Tables'!$A$5:$A$17)*(L116-'Tax Tables'!$A$5:$A$17)*'Tax Tables'!$C$5:$C$17)</f>
        <v>1285</v>
      </c>
      <c r="N116" s="11" t="n">
        <f aca="false">IF(H116&lt;0,-1E+099,A116-E116-M116+J116+(E116+F116)*Calculator!$B$9)</f>
        <v>356895</v>
      </c>
      <c r="O116" s="2"/>
      <c r="P116" s="11" t="n">
        <f aca="false">103*$B$3</f>
        <v>51500</v>
      </c>
      <c r="Q116" s="11" t="n">
        <f aca="false">MIN(P116,'Tax Tables'!$B$31*'Tax Tables'!$B$32)</f>
        <v>51500</v>
      </c>
      <c r="R116" s="11" t="n">
        <f aca="false">P116-Q116</f>
        <v>0</v>
      </c>
      <c r="S116" s="11" t="n">
        <f aca="false">IF(Calculator!$B$6="Yes",MIN(Q116,'Tax Tables'!$B$31*'Tax Tables'!$B$32),0)</f>
        <v>51500</v>
      </c>
      <c r="T116" s="11" t="n">
        <f aca="false">S116*Calculator!$B$7</f>
        <v>10300</v>
      </c>
      <c r="U116" s="11" t="n">
        <f aca="false">S116*Calculator!$B$8</f>
        <v>8755</v>
      </c>
      <c r="V116" s="11" t="n">
        <f aca="false">IF(Q116&gt;0,'Tax Tables'!$B$32*MIN(MAX(Q116/'Tax Tables'!$B$32*'Tax Tables'!$B$33,'Tax Tables'!$B$34),'Tax Tables'!$B$35),0)</f>
        <v>128.75</v>
      </c>
      <c r="W116" s="11" t="n">
        <f aca="false">Calculator!$B$5-P116-U116-V116</f>
        <v>339616.25</v>
      </c>
      <c r="X116" s="11" t="n">
        <f aca="false">'Tax Tables'!$B$22*(MAX(W116,0)-IF(Calculator!$B$10="Yes",MIN(MAX(W116,0),'Tax Tables'!$B$27)*'Tax Tables'!$B$28+MIN(MAX(MAX(W116,0)-'Tax Tables'!$B$27,0),'Tax Tables'!$B$29)*'Tax Tables'!$B$30,MIN(MAX(W116,0),'Tax Tables'!$B$23)*'Tax Tables'!$B$24+MIN(MAX(MAX(W116,0)-'Tax Tables'!$B$23,0),'Tax Tables'!$B$25)*'Tax Tables'!$B$26))*1-MIN('Tax Tables'!$B$22*(MAX(W116,0)-IF(Calculator!$B$10="Yes",MIN(MAX(W116,0),'Tax Tables'!$B$27)*'Tax Tables'!$B$28+MIN(MAX(MAX(W116,0)-'Tax Tables'!$B$27,0),'Tax Tables'!$B$29)*'Tax Tables'!$B$30,MIN(MAX(W116,0),'Tax Tables'!$B$23)*'Tax Tables'!$B$24+MIN(MAX(MAX(W116,0)-'Tax Tables'!$B$23,0),'Tax Tables'!$B$25)*'Tax Tables'!$B$26))*Calculator!$B$11,Calculator!$B$12)</f>
        <v>40309.7625</v>
      </c>
      <c r="Y116" s="11" t="n">
        <f aca="false">MAX(W116,0)-X116</f>
        <v>299306.4875</v>
      </c>
      <c r="Z116" s="11" t="n">
        <f aca="false">MIN(IF(P116&gt;0,Calculator!$B$13,0)+T116+Calculator!$B$14,'Tax Tables'!$B$36)</f>
        <v>11300</v>
      </c>
      <c r="AA116" s="11" t="n">
        <f aca="false">MAX(P116-Z116,0)</f>
        <v>40200</v>
      </c>
      <c r="AB116" s="11" t="n">
        <f aca="false">SUMPRODUCT((AA116&gt;'Tax Tables'!$A$5:$A$17)*(AA116-'Tax Tables'!$A$5:$A$17)*'Tax Tables'!$C$5:$C$17)</f>
        <v>564</v>
      </c>
      <c r="AC116" s="11" t="n">
        <f aca="false">IF(W116&lt;0,-1E+099,P116-T116-AB116+Y116+(T116+U116)*Calculator!$B$9)</f>
        <v>358997.4875</v>
      </c>
    </row>
    <row r="117" customFormat="false" ht="15" hidden="false" customHeight="false" outlineLevel="0" collapsed="false">
      <c r="A117" s="11" t="n">
        <f aca="false">104*$B$3</f>
        <v>52000</v>
      </c>
      <c r="B117" s="11" t="n">
        <f aca="false">0</f>
        <v>0</v>
      </c>
      <c r="C117" s="11" t="n">
        <f aca="false">A117-B117</f>
        <v>52000</v>
      </c>
      <c r="D117" s="11" t="n">
        <f aca="false">IF(Calculator!$B$6="Yes",MIN(B117,'Tax Tables'!$B$31*'Tax Tables'!$B$32),0)</f>
        <v>0</v>
      </c>
      <c r="E117" s="11" t="n">
        <f aca="false">D117*Calculator!$B$7</f>
        <v>0</v>
      </c>
      <c r="F117" s="11" t="n">
        <f aca="false">D117*Calculator!$B$8</f>
        <v>0</v>
      </c>
      <c r="G117" s="11" t="n">
        <f aca="false">IF(B117&gt;0,'Tax Tables'!$B$32*MIN(MAX(B117/'Tax Tables'!$B$32*'Tax Tables'!$B$33,'Tax Tables'!$B$34),'Tax Tables'!$B$35),0)</f>
        <v>0</v>
      </c>
      <c r="H117" s="11" t="n">
        <f aca="false">Calculator!$B$5-A117-F117-G117</f>
        <v>348000</v>
      </c>
      <c r="I117" s="11" t="n">
        <f aca="false">'Tax Tables'!$B$22*(MAX(H117,0)-IF(Calculator!$B$10="Yes",MIN(MAX(H117,0),'Tax Tables'!$B$27)*'Tax Tables'!$B$28+MIN(MAX(MAX(H117,0)-'Tax Tables'!$B$27,0),'Tax Tables'!$B$29)*'Tax Tables'!$B$30,MIN(MAX(H117,0),'Tax Tables'!$B$23)*'Tax Tables'!$B$24+MIN(MAX(MAX(H117,0)-'Tax Tables'!$B$23,0),'Tax Tables'!$B$25)*'Tax Tables'!$B$26))*1-MIN('Tax Tables'!$B$22*(MAX(H117,0)-IF(Calculator!$B$10="Yes",MIN(MAX(H117,0),'Tax Tables'!$B$27)*'Tax Tables'!$B$28+MIN(MAX(MAX(H117,0)-'Tax Tables'!$B$27,0),'Tax Tables'!$B$29)*'Tax Tables'!$B$30,MIN(MAX(H117,0),'Tax Tables'!$B$23)*'Tax Tables'!$B$24+MIN(MAX(MAX(H117,0)-'Tax Tables'!$B$23,0),'Tax Tables'!$B$25)*'Tax Tables'!$B$26))*Calculator!$B$11,Calculator!$B$12)</f>
        <v>41735</v>
      </c>
      <c r="J117" s="11" t="n">
        <f aca="false">MAX(H117,0)-I117</f>
        <v>306265</v>
      </c>
      <c r="K117" s="11" t="n">
        <f aca="false">MIN(IF(A117&gt;0,Calculator!$B$13,0)+E117+Calculator!$B$14,'Tax Tables'!$B$36)</f>
        <v>1000</v>
      </c>
      <c r="L117" s="11" t="n">
        <f aca="false">MAX(A117-K117,0)</f>
        <v>51000</v>
      </c>
      <c r="M117" s="11" t="n">
        <f aca="false">SUMPRODUCT((L117&gt;'Tax Tables'!$A$5:$A$17)*(L117-'Tax Tables'!$A$5:$A$17)*'Tax Tables'!$C$5:$C$17)</f>
        <v>1320</v>
      </c>
      <c r="N117" s="11" t="n">
        <f aca="false">IF(H117&lt;0,-1E+099,A117-E117-M117+J117+(E117+F117)*Calculator!$B$9)</f>
        <v>356945</v>
      </c>
      <c r="O117" s="2"/>
      <c r="P117" s="11" t="n">
        <f aca="false">104*$B$3</f>
        <v>52000</v>
      </c>
      <c r="Q117" s="11" t="n">
        <f aca="false">MIN(P117,'Tax Tables'!$B$31*'Tax Tables'!$B$32)</f>
        <v>52000</v>
      </c>
      <c r="R117" s="11" t="n">
        <f aca="false">P117-Q117</f>
        <v>0</v>
      </c>
      <c r="S117" s="11" t="n">
        <f aca="false">IF(Calculator!$B$6="Yes",MIN(Q117,'Tax Tables'!$B$31*'Tax Tables'!$B$32),0)</f>
        <v>52000</v>
      </c>
      <c r="T117" s="11" t="n">
        <f aca="false">S117*Calculator!$B$7</f>
        <v>10400</v>
      </c>
      <c r="U117" s="11" t="n">
        <f aca="false">S117*Calculator!$B$8</f>
        <v>8840</v>
      </c>
      <c r="V117" s="11" t="n">
        <f aca="false">IF(Q117&gt;0,'Tax Tables'!$B$32*MIN(MAX(Q117/'Tax Tables'!$B$32*'Tax Tables'!$B$33,'Tax Tables'!$B$34),'Tax Tables'!$B$35),0)</f>
        <v>130</v>
      </c>
      <c r="W117" s="11" t="n">
        <f aca="false">Calculator!$B$5-P117-U117-V117</f>
        <v>339030</v>
      </c>
      <c r="X117" s="11" t="n">
        <f aca="false">'Tax Tables'!$B$22*(MAX(W117,0)-IF(Calculator!$B$10="Yes",MIN(MAX(W117,0),'Tax Tables'!$B$27)*'Tax Tables'!$B$28+MIN(MAX(MAX(W117,0)-'Tax Tables'!$B$27,0),'Tax Tables'!$B$29)*'Tax Tables'!$B$30,MIN(MAX(W117,0),'Tax Tables'!$B$23)*'Tax Tables'!$B$24+MIN(MAX(MAX(W117,0)-'Tax Tables'!$B$23,0),'Tax Tables'!$B$25)*'Tax Tables'!$B$26))*1-MIN('Tax Tables'!$B$22*(MAX(W117,0)-IF(Calculator!$B$10="Yes",MIN(MAX(W117,0),'Tax Tables'!$B$27)*'Tax Tables'!$B$28+MIN(MAX(MAX(W117,0)-'Tax Tables'!$B$27,0),'Tax Tables'!$B$29)*'Tax Tables'!$B$30,MIN(MAX(W117,0),'Tax Tables'!$B$23)*'Tax Tables'!$B$24+MIN(MAX(MAX(W117,0)-'Tax Tables'!$B$23,0),'Tax Tables'!$B$25)*'Tax Tables'!$B$26))*Calculator!$B$11,Calculator!$B$12)</f>
        <v>40210.1</v>
      </c>
      <c r="Y117" s="11" t="n">
        <f aca="false">MAX(W117,0)-X117</f>
        <v>298819.9</v>
      </c>
      <c r="Z117" s="11" t="n">
        <f aca="false">MIN(IF(P117&gt;0,Calculator!$B$13,0)+T117+Calculator!$B$14,'Tax Tables'!$B$36)</f>
        <v>11400</v>
      </c>
      <c r="AA117" s="11" t="n">
        <f aca="false">MAX(P117-Z117,0)</f>
        <v>40600</v>
      </c>
      <c r="AB117" s="11" t="n">
        <f aca="false">SUMPRODUCT((AA117&gt;'Tax Tables'!$A$5:$A$17)*(AA117-'Tax Tables'!$A$5:$A$17)*'Tax Tables'!$C$5:$C$17)</f>
        <v>592</v>
      </c>
      <c r="AC117" s="11" t="n">
        <f aca="false">IF(W117&lt;0,-1E+099,P117-T117-AB117+Y117+(T117+U117)*Calculator!$B$9)</f>
        <v>359067.9</v>
      </c>
    </row>
    <row r="118" customFormat="false" ht="15" hidden="false" customHeight="false" outlineLevel="0" collapsed="false">
      <c r="A118" s="11" t="n">
        <f aca="false">105*$B$3</f>
        <v>52500</v>
      </c>
      <c r="B118" s="11" t="n">
        <f aca="false">0</f>
        <v>0</v>
      </c>
      <c r="C118" s="11" t="n">
        <f aca="false">A118-B118</f>
        <v>52500</v>
      </c>
      <c r="D118" s="11" t="n">
        <f aca="false">IF(Calculator!$B$6="Yes",MIN(B118,'Tax Tables'!$B$31*'Tax Tables'!$B$32),0)</f>
        <v>0</v>
      </c>
      <c r="E118" s="11" t="n">
        <f aca="false">D118*Calculator!$B$7</f>
        <v>0</v>
      </c>
      <c r="F118" s="11" t="n">
        <f aca="false">D118*Calculator!$B$8</f>
        <v>0</v>
      </c>
      <c r="G118" s="11" t="n">
        <f aca="false">IF(B118&gt;0,'Tax Tables'!$B$32*MIN(MAX(B118/'Tax Tables'!$B$32*'Tax Tables'!$B$33,'Tax Tables'!$B$34),'Tax Tables'!$B$35),0)</f>
        <v>0</v>
      </c>
      <c r="H118" s="11" t="n">
        <f aca="false">Calculator!$B$5-A118-F118-G118</f>
        <v>347500</v>
      </c>
      <c r="I118" s="11" t="n">
        <f aca="false">'Tax Tables'!$B$22*(MAX(H118,0)-IF(Calculator!$B$10="Yes",MIN(MAX(H118,0),'Tax Tables'!$B$27)*'Tax Tables'!$B$28+MIN(MAX(MAX(H118,0)-'Tax Tables'!$B$27,0),'Tax Tables'!$B$29)*'Tax Tables'!$B$30,MIN(MAX(H118,0),'Tax Tables'!$B$23)*'Tax Tables'!$B$24+MIN(MAX(MAX(H118,0)-'Tax Tables'!$B$23,0),'Tax Tables'!$B$25)*'Tax Tables'!$B$26))*1-MIN('Tax Tables'!$B$22*(MAX(H118,0)-IF(Calculator!$B$10="Yes",MIN(MAX(H118,0),'Tax Tables'!$B$27)*'Tax Tables'!$B$28+MIN(MAX(MAX(H118,0)-'Tax Tables'!$B$27,0),'Tax Tables'!$B$29)*'Tax Tables'!$B$30,MIN(MAX(H118,0),'Tax Tables'!$B$23)*'Tax Tables'!$B$24+MIN(MAX(MAX(H118,0)-'Tax Tables'!$B$23,0),'Tax Tables'!$B$25)*'Tax Tables'!$B$26))*Calculator!$B$11,Calculator!$B$12)</f>
        <v>41650</v>
      </c>
      <c r="J118" s="11" t="n">
        <f aca="false">MAX(H118,0)-I118</f>
        <v>305850</v>
      </c>
      <c r="K118" s="11" t="n">
        <f aca="false">MIN(IF(A118&gt;0,Calculator!$B$13,0)+E118+Calculator!$B$14,'Tax Tables'!$B$36)</f>
        <v>1000</v>
      </c>
      <c r="L118" s="11" t="n">
        <f aca="false">MAX(A118-K118,0)</f>
        <v>51500</v>
      </c>
      <c r="M118" s="11" t="n">
        <f aca="false">SUMPRODUCT((L118&gt;'Tax Tables'!$A$5:$A$17)*(L118-'Tax Tables'!$A$5:$A$17)*'Tax Tables'!$C$5:$C$17)</f>
        <v>1355</v>
      </c>
      <c r="N118" s="11" t="n">
        <f aca="false">IF(H118&lt;0,-1E+099,A118-E118-M118+J118+(E118+F118)*Calculator!$B$9)</f>
        <v>356995</v>
      </c>
      <c r="O118" s="2"/>
      <c r="P118" s="11" t="n">
        <f aca="false">105*$B$3</f>
        <v>52500</v>
      </c>
      <c r="Q118" s="11" t="n">
        <f aca="false">MIN(P118,'Tax Tables'!$B$31*'Tax Tables'!$B$32)</f>
        <v>52500</v>
      </c>
      <c r="R118" s="11" t="n">
        <f aca="false">P118-Q118</f>
        <v>0</v>
      </c>
      <c r="S118" s="11" t="n">
        <f aca="false">IF(Calculator!$B$6="Yes",MIN(Q118,'Tax Tables'!$B$31*'Tax Tables'!$B$32),0)</f>
        <v>52500</v>
      </c>
      <c r="T118" s="11" t="n">
        <f aca="false">S118*Calculator!$B$7</f>
        <v>10500</v>
      </c>
      <c r="U118" s="11" t="n">
        <f aca="false">S118*Calculator!$B$8</f>
        <v>8925</v>
      </c>
      <c r="V118" s="11" t="n">
        <f aca="false">IF(Q118&gt;0,'Tax Tables'!$B$32*MIN(MAX(Q118/'Tax Tables'!$B$32*'Tax Tables'!$B$33,'Tax Tables'!$B$34),'Tax Tables'!$B$35),0)</f>
        <v>131.25</v>
      </c>
      <c r="W118" s="11" t="n">
        <f aca="false">Calculator!$B$5-P118-U118-V118</f>
        <v>338443.75</v>
      </c>
      <c r="X118" s="11" t="n">
        <f aca="false">'Tax Tables'!$B$22*(MAX(W118,0)-IF(Calculator!$B$10="Yes",MIN(MAX(W118,0),'Tax Tables'!$B$27)*'Tax Tables'!$B$28+MIN(MAX(MAX(W118,0)-'Tax Tables'!$B$27,0),'Tax Tables'!$B$29)*'Tax Tables'!$B$30,MIN(MAX(W118,0),'Tax Tables'!$B$23)*'Tax Tables'!$B$24+MIN(MAX(MAX(W118,0)-'Tax Tables'!$B$23,0),'Tax Tables'!$B$25)*'Tax Tables'!$B$26))*1-MIN('Tax Tables'!$B$22*(MAX(W118,0)-IF(Calculator!$B$10="Yes",MIN(MAX(W118,0),'Tax Tables'!$B$27)*'Tax Tables'!$B$28+MIN(MAX(MAX(W118,0)-'Tax Tables'!$B$27,0),'Tax Tables'!$B$29)*'Tax Tables'!$B$30,MIN(MAX(W118,0),'Tax Tables'!$B$23)*'Tax Tables'!$B$24+MIN(MAX(MAX(W118,0)-'Tax Tables'!$B$23,0),'Tax Tables'!$B$25)*'Tax Tables'!$B$26))*Calculator!$B$11,Calculator!$B$12)</f>
        <v>40110.4375</v>
      </c>
      <c r="Y118" s="11" t="n">
        <f aca="false">MAX(W118,0)-X118</f>
        <v>298333.3125</v>
      </c>
      <c r="Z118" s="11" t="n">
        <f aca="false">MIN(IF(P118&gt;0,Calculator!$B$13,0)+T118+Calculator!$B$14,'Tax Tables'!$B$36)</f>
        <v>11500</v>
      </c>
      <c r="AA118" s="11" t="n">
        <f aca="false">MAX(P118-Z118,0)</f>
        <v>41000</v>
      </c>
      <c r="AB118" s="11" t="n">
        <f aca="false">SUMPRODUCT((AA118&gt;'Tax Tables'!$A$5:$A$17)*(AA118-'Tax Tables'!$A$5:$A$17)*'Tax Tables'!$C$5:$C$17)</f>
        <v>620</v>
      </c>
      <c r="AC118" s="11" t="n">
        <f aca="false">IF(W118&lt;0,-1E+099,P118-T118-AB118+Y118+(T118+U118)*Calculator!$B$9)</f>
        <v>359138.3125</v>
      </c>
    </row>
    <row r="119" customFormat="false" ht="15" hidden="false" customHeight="false" outlineLevel="0" collapsed="false">
      <c r="A119" s="11" t="n">
        <f aca="false">106*$B$3</f>
        <v>53000</v>
      </c>
      <c r="B119" s="11" t="n">
        <f aca="false">0</f>
        <v>0</v>
      </c>
      <c r="C119" s="11" t="n">
        <f aca="false">A119-B119</f>
        <v>53000</v>
      </c>
      <c r="D119" s="11" t="n">
        <f aca="false">IF(Calculator!$B$6="Yes",MIN(B119,'Tax Tables'!$B$31*'Tax Tables'!$B$32),0)</f>
        <v>0</v>
      </c>
      <c r="E119" s="11" t="n">
        <f aca="false">D119*Calculator!$B$7</f>
        <v>0</v>
      </c>
      <c r="F119" s="11" t="n">
        <f aca="false">D119*Calculator!$B$8</f>
        <v>0</v>
      </c>
      <c r="G119" s="11" t="n">
        <f aca="false">IF(B119&gt;0,'Tax Tables'!$B$32*MIN(MAX(B119/'Tax Tables'!$B$32*'Tax Tables'!$B$33,'Tax Tables'!$B$34),'Tax Tables'!$B$35),0)</f>
        <v>0</v>
      </c>
      <c r="H119" s="11" t="n">
        <f aca="false">Calculator!$B$5-A119-F119-G119</f>
        <v>347000</v>
      </c>
      <c r="I119" s="11" t="n">
        <f aca="false">'Tax Tables'!$B$22*(MAX(H119,0)-IF(Calculator!$B$10="Yes",MIN(MAX(H119,0),'Tax Tables'!$B$27)*'Tax Tables'!$B$28+MIN(MAX(MAX(H119,0)-'Tax Tables'!$B$27,0),'Tax Tables'!$B$29)*'Tax Tables'!$B$30,MIN(MAX(H119,0),'Tax Tables'!$B$23)*'Tax Tables'!$B$24+MIN(MAX(MAX(H119,0)-'Tax Tables'!$B$23,0),'Tax Tables'!$B$25)*'Tax Tables'!$B$26))*1-MIN('Tax Tables'!$B$22*(MAX(H119,0)-IF(Calculator!$B$10="Yes",MIN(MAX(H119,0),'Tax Tables'!$B$27)*'Tax Tables'!$B$28+MIN(MAX(MAX(H119,0)-'Tax Tables'!$B$27,0),'Tax Tables'!$B$29)*'Tax Tables'!$B$30,MIN(MAX(H119,0),'Tax Tables'!$B$23)*'Tax Tables'!$B$24+MIN(MAX(MAX(H119,0)-'Tax Tables'!$B$23,0),'Tax Tables'!$B$25)*'Tax Tables'!$B$26))*Calculator!$B$11,Calculator!$B$12)</f>
        <v>41565</v>
      </c>
      <c r="J119" s="11" t="n">
        <f aca="false">MAX(H119,0)-I119</f>
        <v>305435</v>
      </c>
      <c r="K119" s="11" t="n">
        <f aca="false">MIN(IF(A119&gt;0,Calculator!$B$13,0)+E119+Calculator!$B$14,'Tax Tables'!$B$36)</f>
        <v>1000</v>
      </c>
      <c r="L119" s="11" t="n">
        <f aca="false">MAX(A119-K119,0)</f>
        <v>52000</v>
      </c>
      <c r="M119" s="11" t="n">
        <f aca="false">SUMPRODUCT((L119&gt;'Tax Tables'!$A$5:$A$17)*(L119-'Tax Tables'!$A$5:$A$17)*'Tax Tables'!$C$5:$C$17)</f>
        <v>1390</v>
      </c>
      <c r="N119" s="11" t="n">
        <f aca="false">IF(H119&lt;0,-1E+099,A119-E119-M119+J119+(E119+F119)*Calculator!$B$9)</f>
        <v>357045</v>
      </c>
      <c r="O119" s="2"/>
      <c r="P119" s="11" t="n">
        <f aca="false">106*$B$3</f>
        <v>53000</v>
      </c>
      <c r="Q119" s="11" t="n">
        <f aca="false">MIN(P119,'Tax Tables'!$B$31*'Tax Tables'!$B$32)</f>
        <v>53000</v>
      </c>
      <c r="R119" s="11" t="n">
        <f aca="false">P119-Q119</f>
        <v>0</v>
      </c>
      <c r="S119" s="11" t="n">
        <f aca="false">IF(Calculator!$B$6="Yes",MIN(Q119,'Tax Tables'!$B$31*'Tax Tables'!$B$32),0)</f>
        <v>53000</v>
      </c>
      <c r="T119" s="11" t="n">
        <f aca="false">S119*Calculator!$B$7</f>
        <v>10600</v>
      </c>
      <c r="U119" s="11" t="n">
        <f aca="false">S119*Calculator!$B$8</f>
        <v>9010</v>
      </c>
      <c r="V119" s="11" t="n">
        <f aca="false">IF(Q119&gt;0,'Tax Tables'!$B$32*MIN(MAX(Q119/'Tax Tables'!$B$32*'Tax Tables'!$B$33,'Tax Tables'!$B$34),'Tax Tables'!$B$35),0)</f>
        <v>132.5</v>
      </c>
      <c r="W119" s="11" t="n">
        <f aca="false">Calculator!$B$5-P119-U119-V119</f>
        <v>337857.5</v>
      </c>
      <c r="X119" s="11" t="n">
        <f aca="false">'Tax Tables'!$B$22*(MAX(W119,0)-IF(Calculator!$B$10="Yes",MIN(MAX(W119,0),'Tax Tables'!$B$27)*'Tax Tables'!$B$28+MIN(MAX(MAX(W119,0)-'Tax Tables'!$B$27,0),'Tax Tables'!$B$29)*'Tax Tables'!$B$30,MIN(MAX(W119,0),'Tax Tables'!$B$23)*'Tax Tables'!$B$24+MIN(MAX(MAX(W119,0)-'Tax Tables'!$B$23,0),'Tax Tables'!$B$25)*'Tax Tables'!$B$26))*1-MIN('Tax Tables'!$B$22*(MAX(W119,0)-IF(Calculator!$B$10="Yes",MIN(MAX(W119,0),'Tax Tables'!$B$27)*'Tax Tables'!$B$28+MIN(MAX(MAX(W119,0)-'Tax Tables'!$B$27,0),'Tax Tables'!$B$29)*'Tax Tables'!$B$30,MIN(MAX(W119,0),'Tax Tables'!$B$23)*'Tax Tables'!$B$24+MIN(MAX(MAX(W119,0)-'Tax Tables'!$B$23,0),'Tax Tables'!$B$25)*'Tax Tables'!$B$26))*Calculator!$B$11,Calculator!$B$12)</f>
        <v>40010.775</v>
      </c>
      <c r="Y119" s="11" t="n">
        <f aca="false">MAX(W119,0)-X119</f>
        <v>297846.725</v>
      </c>
      <c r="Z119" s="11" t="n">
        <f aca="false">MIN(IF(P119&gt;0,Calculator!$B$13,0)+T119+Calculator!$B$14,'Tax Tables'!$B$36)</f>
        <v>11600</v>
      </c>
      <c r="AA119" s="11" t="n">
        <f aca="false">MAX(P119-Z119,0)</f>
        <v>41400</v>
      </c>
      <c r="AB119" s="11" t="n">
        <f aca="false">SUMPRODUCT((AA119&gt;'Tax Tables'!$A$5:$A$17)*(AA119-'Tax Tables'!$A$5:$A$17)*'Tax Tables'!$C$5:$C$17)</f>
        <v>648</v>
      </c>
      <c r="AC119" s="11" t="n">
        <f aca="false">IF(W119&lt;0,-1E+099,P119-T119-AB119+Y119+(T119+U119)*Calculator!$B$9)</f>
        <v>359208.725</v>
      </c>
    </row>
    <row r="120" customFormat="false" ht="15" hidden="false" customHeight="false" outlineLevel="0" collapsed="false">
      <c r="A120" s="11" t="n">
        <f aca="false">107*$B$3</f>
        <v>53500</v>
      </c>
      <c r="B120" s="11" t="n">
        <f aca="false">0</f>
        <v>0</v>
      </c>
      <c r="C120" s="11" t="n">
        <f aca="false">A120-B120</f>
        <v>53500</v>
      </c>
      <c r="D120" s="11" t="n">
        <f aca="false">IF(Calculator!$B$6="Yes",MIN(B120,'Tax Tables'!$B$31*'Tax Tables'!$B$32),0)</f>
        <v>0</v>
      </c>
      <c r="E120" s="11" t="n">
        <f aca="false">D120*Calculator!$B$7</f>
        <v>0</v>
      </c>
      <c r="F120" s="11" t="n">
        <f aca="false">D120*Calculator!$B$8</f>
        <v>0</v>
      </c>
      <c r="G120" s="11" t="n">
        <f aca="false">IF(B120&gt;0,'Tax Tables'!$B$32*MIN(MAX(B120/'Tax Tables'!$B$32*'Tax Tables'!$B$33,'Tax Tables'!$B$34),'Tax Tables'!$B$35),0)</f>
        <v>0</v>
      </c>
      <c r="H120" s="11" t="n">
        <f aca="false">Calculator!$B$5-A120-F120-G120</f>
        <v>346500</v>
      </c>
      <c r="I120" s="11" t="n">
        <f aca="false">'Tax Tables'!$B$22*(MAX(H120,0)-IF(Calculator!$B$10="Yes",MIN(MAX(H120,0),'Tax Tables'!$B$27)*'Tax Tables'!$B$28+MIN(MAX(MAX(H120,0)-'Tax Tables'!$B$27,0),'Tax Tables'!$B$29)*'Tax Tables'!$B$30,MIN(MAX(H120,0),'Tax Tables'!$B$23)*'Tax Tables'!$B$24+MIN(MAX(MAX(H120,0)-'Tax Tables'!$B$23,0),'Tax Tables'!$B$25)*'Tax Tables'!$B$26))*1-MIN('Tax Tables'!$B$22*(MAX(H120,0)-IF(Calculator!$B$10="Yes",MIN(MAX(H120,0),'Tax Tables'!$B$27)*'Tax Tables'!$B$28+MIN(MAX(MAX(H120,0)-'Tax Tables'!$B$27,0),'Tax Tables'!$B$29)*'Tax Tables'!$B$30,MIN(MAX(H120,0),'Tax Tables'!$B$23)*'Tax Tables'!$B$24+MIN(MAX(MAX(H120,0)-'Tax Tables'!$B$23,0),'Tax Tables'!$B$25)*'Tax Tables'!$B$26))*Calculator!$B$11,Calculator!$B$12)</f>
        <v>41480</v>
      </c>
      <c r="J120" s="11" t="n">
        <f aca="false">MAX(H120,0)-I120</f>
        <v>305020</v>
      </c>
      <c r="K120" s="11" t="n">
        <f aca="false">MIN(IF(A120&gt;0,Calculator!$B$13,0)+E120+Calculator!$B$14,'Tax Tables'!$B$36)</f>
        <v>1000</v>
      </c>
      <c r="L120" s="11" t="n">
        <f aca="false">MAX(A120-K120,0)</f>
        <v>52500</v>
      </c>
      <c r="M120" s="11" t="n">
        <f aca="false">SUMPRODUCT((L120&gt;'Tax Tables'!$A$5:$A$17)*(L120-'Tax Tables'!$A$5:$A$17)*'Tax Tables'!$C$5:$C$17)</f>
        <v>1425</v>
      </c>
      <c r="N120" s="11" t="n">
        <f aca="false">IF(H120&lt;0,-1E+099,A120-E120-M120+J120+(E120+F120)*Calculator!$B$9)</f>
        <v>357095</v>
      </c>
      <c r="O120" s="2"/>
      <c r="P120" s="11" t="n">
        <f aca="false">107*$B$3</f>
        <v>53500</v>
      </c>
      <c r="Q120" s="11" t="n">
        <f aca="false">MIN(P120,'Tax Tables'!$B$31*'Tax Tables'!$B$32)</f>
        <v>53500</v>
      </c>
      <c r="R120" s="11" t="n">
        <f aca="false">P120-Q120</f>
        <v>0</v>
      </c>
      <c r="S120" s="11" t="n">
        <f aca="false">IF(Calculator!$B$6="Yes",MIN(Q120,'Tax Tables'!$B$31*'Tax Tables'!$B$32),0)</f>
        <v>53500</v>
      </c>
      <c r="T120" s="11" t="n">
        <f aca="false">S120*Calculator!$B$7</f>
        <v>10700</v>
      </c>
      <c r="U120" s="11" t="n">
        <f aca="false">S120*Calculator!$B$8</f>
        <v>9095</v>
      </c>
      <c r="V120" s="11" t="n">
        <f aca="false">IF(Q120&gt;0,'Tax Tables'!$B$32*MIN(MAX(Q120/'Tax Tables'!$B$32*'Tax Tables'!$B$33,'Tax Tables'!$B$34),'Tax Tables'!$B$35),0)</f>
        <v>133.75</v>
      </c>
      <c r="W120" s="11" t="n">
        <f aca="false">Calculator!$B$5-P120-U120-V120</f>
        <v>337271.25</v>
      </c>
      <c r="X120" s="11" t="n">
        <f aca="false">'Tax Tables'!$B$22*(MAX(W120,0)-IF(Calculator!$B$10="Yes",MIN(MAX(W120,0),'Tax Tables'!$B$27)*'Tax Tables'!$B$28+MIN(MAX(MAX(W120,0)-'Tax Tables'!$B$27,0),'Tax Tables'!$B$29)*'Tax Tables'!$B$30,MIN(MAX(W120,0),'Tax Tables'!$B$23)*'Tax Tables'!$B$24+MIN(MAX(MAX(W120,0)-'Tax Tables'!$B$23,0),'Tax Tables'!$B$25)*'Tax Tables'!$B$26))*1-MIN('Tax Tables'!$B$22*(MAX(W120,0)-IF(Calculator!$B$10="Yes",MIN(MAX(W120,0),'Tax Tables'!$B$27)*'Tax Tables'!$B$28+MIN(MAX(MAX(W120,0)-'Tax Tables'!$B$27,0),'Tax Tables'!$B$29)*'Tax Tables'!$B$30,MIN(MAX(W120,0),'Tax Tables'!$B$23)*'Tax Tables'!$B$24+MIN(MAX(MAX(W120,0)-'Tax Tables'!$B$23,0),'Tax Tables'!$B$25)*'Tax Tables'!$B$26))*Calculator!$B$11,Calculator!$B$12)</f>
        <v>39911.1125</v>
      </c>
      <c r="Y120" s="11" t="n">
        <f aca="false">MAX(W120,0)-X120</f>
        <v>297360.1375</v>
      </c>
      <c r="Z120" s="11" t="n">
        <f aca="false">MIN(IF(P120&gt;0,Calculator!$B$13,0)+T120+Calculator!$B$14,'Tax Tables'!$B$36)</f>
        <v>11700</v>
      </c>
      <c r="AA120" s="11" t="n">
        <f aca="false">MAX(P120-Z120,0)</f>
        <v>41800</v>
      </c>
      <c r="AB120" s="11" t="n">
        <f aca="false">SUMPRODUCT((AA120&gt;'Tax Tables'!$A$5:$A$17)*(AA120-'Tax Tables'!$A$5:$A$17)*'Tax Tables'!$C$5:$C$17)</f>
        <v>676</v>
      </c>
      <c r="AC120" s="11" t="n">
        <f aca="false">IF(W120&lt;0,-1E+099,P120-T120-AB120+Y120+(T120+U120)*Calculator!$B$9)</f>
        <v>359279.1375</v>
      </c>
    </row>
    <row r="121" customFormat="false" ht="15" hidden="false" customHeight="false" outlineLevel="0" collapsed="false">
      <c r="A121" s="11" t="n">
        <f aca="false">108*$B$3</f>
        <v>54000</v>
      </c>
      <c r="B121" s="11" t="n">
        <f aca="false">0</f>
        <v>0</v>
      </c>
      <c r="C121" s="11" t="n">
        <f aca="false">A121-B121</f>
        <v>54000</v>
      </c>
      <c r="D121" s="11" t="n">
        <f aca="false">IF(Calculator!$B$6="Yes",MIN(B121,'Tax Tables'!$B$31*'Tax Tables'!$B$32),0)</f>
        <v>0</v>
      </c>
      <c r="E121" s="11" t="n">
        <f aca="false">D121*Calculator!$B$7</f>
        <v>0</v>
      </c>
      <c r="F121" s="11" t="n">
        <f aca="false">D121*Calculator!$B$8</f>
        <v>0</v>
      </c>
      <c r="G121" s="11" t="n">
        <f aca="false">IF(B121&gt;0,'Tax Tables'!$B$32*MIN(MAX(B121/'Tax Tables'!$B$32*'Tax Tables'!$B$33,'Tax Tables'!$B$34),'Tax Tables'!$B$35),0)</f>
        <v>0</v>
      </c>
      <c r="H121" s="11" t="n">
        <f aca="false">Calculator!$B$5-A121-F121-G121</f>
        <v>346000</v>
      </c>
      <c r="I121" s="11" t="n">
        <f aca="false">'Tax Tables'!$B$22*(MAX(H121,0)-IF(Calculator!$B$10="Yes",MIN(MAX(H121,0),'Tax Tables'!$B$27)*'Tax Tables'!$B$28+MIN(MAX(MAX(H121,0)-'Tax Tables'!$B$27,0),'Tax Tables'!$B$29)*'Tax Tables'!$B$30,MIN(MAX(H121,0),'Tax Tables'!$B$23)*'Tax Tables'!$B$24+MIN(MAX(MAX(H121,0)-'Tax Tables'!$B$23,0),'Tax Tables'!$B$25)*'Tax Tables'!$B$26))*1-MIN('Tax Tables'!$B$22*(MAX(H121,0)-IF(Calculator!$B$10="Yes",MIN(MAX(H121,0),'Tax Tables'!$B$27)*'Tax Tables'!$B$28+MIN(MAX(MAX(H121,0)-'Tax Tables'!$B$27,0),'Tax Tables'!$B$29)*'Tax Tables'!$B$30,MIN(MAX(H121,0),'Tax Tables'!$B$23)*'Tax Tables'!$B$24+MIN(MAX(MAX(H121,0)-'Tax Tables'!$B$23,0),'Tax Tables'!$B$25)*'Tax Tables'!$B$26))*Calculator!$B$11,Calculator!$B$12)</f>
        <v>41395</v>
      </c>
      <c r="J121" s="11" t="n">
        <f aca="false">MAX(H121,0)-I121</f>
        <v>304605</v>
      </c>
      <c r="K121" s="11" t="n">
        <f aca="false">MIN(IF(A121&gt;0,Calculator!$B$13,0)+E121+Calculator!$B$14,'Tax Tables'!$B$36)</f>
        <v>1000</v>
      </c>
      <c r="L121" s="11" t="n">
        <f aca="false">MAX(A121-K121,0)</f>
        <v>53000</v>
      </c>
      <c r="M121" s="11" t="n">
        <f aca="false">SUMPRODUCT((L121&gt;'Tax Tables'!$A$5:$A$17)*(L121-'Tax Tables'!$A$5:$A$17)*'Tax Tables'!$C$5:$C$17)</f>
        <v>1460</v>
      </c>
      <c r="N121" s="11" t="n">
        <f aca="false">IF(H121&lt;0,-1E+099,A121-E121-M121+J121+(E121+F121)*Calculator!$B$9)</f>
        <v>357145</v>
      </c>
      <c r="O121" s="2"/>
      <c r="P121" s="11" t="n">
        <f aca="false">108*$B$3</f>
        <v>54000</v>
      </c>
      <c r="Q121" s="11" t="n">
        <f aca="false">MIN(P121,'Tax Tables'!$B$31*'Tax Tables'!$B$32)</f>
        <v>54000</v>
      </c>
      <c r="R121" s="11" t="n">
        <f aca="false">P121-Q121</f>
        <v>0</v>
      </c>
      <c r="S121" s="11" t="n">
        <f aca="false">IF(Calculator!$B$6="Yes",MIN(Q121,'Tax Tables'!$B$31*'Tax Tables'!$B$32),0)</f>
        <v>54000</v>
      </c>
      <c r="T121" s="11" t="n">
        <f aca="false">S121*Calculator!$B$7</f>
        <v>10800</v>
      </c>
      <c r="U121" s="11" t="n">
        <f aca="false">S121*Calculator!$B$8</f>
        <v>9180</v>
      </c>
      <c r="V121" s="11" t="n">
        <f aca="false">IF(Q121&gt;0,'Tax Tables'!$B$32*MIN(MAX(Q121/'Tax Tables'!$B$32*'Tax Tables'!$B$33,'Tax Tables'!$B$34),'Tax Tables'!$B$35),0)</f>
        <v>135</v>
      </c>
      <c r="W121" s="11" t="n">
        <f aca="false">Calculator!$B$5-P121-U121-V121</f>
        <v>336685</v>
      </c>
      <c r="X121" s="11" t="n">
        <f aca="false">'Tax Tables'!$B$22*(MAX(W121,0)-IF(Calculator!$B$10="Yes",MIN(MAX(W121,0),'Tax Tables'!$B$27)*'Tax Tables'!$B$28+MIN(MAX(MAX(W121,0)-'Tax Tables'!$B$27,0),'Tax Tables'!$B$29)*'Tax Tables'!$B$30,MIN(MAX(W121,0),'Tax Tables'!$B$23)*'Tax Tables'!$B$24+MIN(MAX(MAX(W121,0)-'Tax Tables'!$B$23,0),'Tax Tables'!$B$25)*'Tax Tables'!$B$26))*1-MIN('Tax Tables'!$B$22*(MAX(W121,0)-IF(Calculator!$B$10="Yes",MIN(MAX(W121,0),'Tax Tables'!$B$27)*'Tax Tables'!$B$28+MIN(MAX(MAX(W121,0)-'Tax Tables'!$B$27,0),'Tax Tables'!$B$29)*'Tax Tables'!$B$30,MIN(MAX(W121,0),'Tax Tables'!$B$23)*'Tax Tables'!$B$24+MIN(MAX(MAX(W121,0)-'Tax Tables'!$B$23,0),'Tax Tables'!$B$25)*'Tax Tables'!$B$26))*Calculator!$B$11,Calculator!$B$12)</f>
        <v>39811.45</v>
      </c>
      <c r="Y121" s="11" t="n">
        <f aca="false">MAX(W121,0)-X121</f>
        <v>296873.55</v>
      </c>
      <c r="Z121" s="11" t="n">
        <f aca="false">MIN(IF(P121&gt;0,Calculator!$B$13,0)+T121+Calculator!$B$14,'Tax Tables'!$B$36)</f>
        <v>11800</v>
      </c>
      <c r="AA121" s="11" t="n">
        <f aca="false">MAX(P121-Z121,0)</f>
        <v>42200</v>
      </c>
      <c r="AB121" s="11" t="n">
        <f aca="false">SUMPRODUCT((AA121&gt;'Tax Tables'!$A$5:$A$17)*(AA121-'Tax Tables'!$A$5:$A$17)*'Tax Tables'!$C$5:$C$17)</f>
        <v>704</v>
      </c>
      <c r="AC121" s="11" t="n">
        <f aca="false">IF(W121&lt;0,-1E+099,P121-T121-AB121+Y121+(T121+U121)*Calculator!$B$9)</f>
        <v>359349.55</v>
      </c>
    </row>
    <row r="122" customFormat="false" ht="15" hidden="false" customHeight="false" outlineLevel="0" collapsed="false">
      <c r="A122" s="11" t="n">
        <f aca="false">109*$B$3</f>
        <v>54500</v>
      </c>
      <c r="B122" s="11" t="n">
        <f aca="false">0</f>
        <v>0</v>
      </c>
      <c r="C122" s="11" t="n">
        <f aca="false">A122-B122</f>
        <v>54500</v>
      </c>
      <c r="D122" s="11" t="n">
        <f aca="false">IF(Calculator!$B$6="Yes",MIN(B122,'Tax Tables'!$B$31*'Tax Tables'!$B$32),0)</f>
        <v>0</v>
      </c>
      <c r="E122" s="11" t="n">
        <f aca="false">D122*Calculator!$B$7</f>
        <v>0</v>
      </c>
      <c r="F122" s="11" t="n">
        <f aca="false">D122*Calculator!$B$8</f>
        <v>0</v>
      </c>
      <c r="G122" s="11" t="n">
        <f aca="false">IF(B122&gt;0,'Tax Tables'!$B$32*MIN(MAX(B122/'Tax Tables'!$B$32*'Tax Tables'!$B$33,'Tax Tables'!$B$34),'Tax Tables'!$B$35),0)</f>
        <v>0</v>
      </c>
      <c r="H122" s="11" t="n">
        <f aca="false">Calculator!$B$5-A122-F122-G122</f>
        <v>345500</v>
      </c>
      <c r="I122" s="11" t="n">
        <f aca="false">'Tax Tables'!$B$22*(MAX(H122,0)-IF(Calculator!$B$10="Yes",MIN(MAX(H122,0),'Tax Tables'!$B$27)*'Tax Tables'!$B$28+MIN(MAX(MAX(H122,0)-'Tax Tables'!$B$27,0),'Tax Tables'!$B$29)*'Tax Tables'!$B$30,MIN(MAX(H122,0),'Tax Tables'!$B$23)*'Tax Tables'!$B$24+MIN(MAX(MAX(H122,0)-'Tax Tables'!$B$23,0),'Tax Tables'!$B$25)*'Tax Tables'!$B$26))*1-MIN('Tax Tables'!$B$22*(MAX(H122,0)-IF(Calculator!$B$10="Yes",MIN(MAX(H122,0),'Tax Tables'!$B$27)*'Tax Tables'!$B$28+MIN(MAX(MAX(H122,0)-'Tax Tables'!$B$27,0),'Tax Tables'!$B$29)*'Tax Tables'!$B$30,MIN(MAX(H122,0),'Tax Tables'!$B$23)*'Tax Tables'!$B$24+MIN(MAX(MAX(H122,0)-'Tax Tables'!$B$23,0),'Tax Tables'!$B$25)*'Tax Tables'!$B$26))*Calculator!$B$11,Calculator!$B$12)</f>
        <v>41310</v>
      </c>
      <c r="J122" s="11" t="n">
        <f aca="false">MAX(H122,0)-I122</f>
        <v>304190</v>
      </c>
      <c r="K122" s="11" t="n">
        <f aca="false">MIN(IF(A122&gt;0,Calculator!$B$13,0)+E122+Calculator!$B$14,'Tax Tables'!$B$36)</f>
        <v>1000</v>
      </c>
      <c r="L122" s="11" t="n">
        <f aca="false">MAX(A122-K122,0)</f>
        <v>53500</v>
      </c>
      <c r="M122" s="11" t="n">
        <f aca="false">SUMPRODUCT((L122&gt;'Tax Tables'!$A$5:$A$17)*(L122-'Tax Tables'!$A$5:$A$17)*'Tax Tables'!$C$5:$C$17)</f>
        <v>1495</v>
      </c>
      <c r="N122" s="11" t="n">
        <f aca="false">IF(H122&lt;0,-1E+099,A122-E122-M122+J122+(E122+F122)*Calculator!$B$9)</f>
        <v>357195</v>
      </c>
      <c r="O122" s="2"/>
      <c r="P122" s="11" t="n">
        <f aca="false">109*$B$3</f>
        <v>54500</v>
      </c>
      <c r="Q122" s="11" t="n">
        <f aca="false">MIN(P122,'Tax Tables'!$B$31*'Tax Tables'!$B$32)</f>
        <v>54500</v>
      </c>
      <c r="R122" s="11" t="n">
        <f aca="false">P122-Q122</f>
        <v>0</v>
      </c>
      <c r="S122" s="11" t="n">
        <f aca="false">IF(Calculator!$B$6="Yes",MIN(Q122,'Tax Tables'!$B$31*'Tax Tables'!$B$32),0)</f>
        <v>54500</v>
      </c>
      <c r="T122" s="11" t="n">
        <f aca="false">S122*Calculator!$B$7</f>
        <v>10900</v>
      </c>
      <c r="U122" s="11" t="n">
        <f aca="false">S122*Calculator!$B$8</f>
        <v>9265</v>
      </c>
      <c r="V122" s="11" t="n">
        <f aca="false">IF(Q122&gt;0,'Tax Tables'!$B$32*MIN(MAX(Q122/'Tax Tables'!$B$32*'Tax Tables'!$B$33,'Tax Tables'!$B$34),'Tax Tables'!$B$35),0)</f>
        <v>135</v>
      </c>
      <c r="W122" s="11" t="n">
        <f aca="false">Calculator!$B$5-P122-U122-V122</f>
        <v>336100</v>
      </c>
      <c r="X122" s="11" t="n">
        <f aca="false">'Tax Tables'!$B$22*(MAX(W122,0)-IF(Calculator!$B$10="Yes",MIN(MAX(W122,0),'Tax Tables'!$B$27)*'Tax Tables'!$B$28+MIN(MAX(MAX(W122,0)-'Tax Tables'!$B$27,0),'Tax Tables'!$B$29)*'Tax Tables'!$B$30,MIN(MAX(W122,0),'Tax Tables'!$B$23)*'Tax Tables'!$B$24+MIN(MAX(MAX(W122,0)-'Tax Tables'!$B$23,0),'Tax Tables'!$B$25)*'Tax Tables'!$B$26))*1-MIN('Tax Tables'!$B$22*(MAX(W122,0)-IF(Calculator!$B$10="Yes",MIN(MAX(W122,0),'Tax Tables'!$B$27)*'Tax Tables'!$B$28+MIN(MAX(MAX(W122,0)-'Tax Tables'!$B$27,0),'Tax Tables'!$B$29)*'Tax Tables'!$B$30,MIN(MAX(W122,0),'Tax Tables'!$B$23)*'Tax Tables'!$B$24+MIN(MAX(MAX(W122,0)-'Tax Tables'!$B$23,0),'Tax Tables'!$B$25)*'Tax Tables'!$B$26))*Calculator!$B$11,Calculator!$B$12)</f>
        <v>39712</v>
      </c>
      <c r="Y122" s="11" t="n">
        <f aca="false">MAX(W122,0)-X122</f>
        <v>296388</v>
      </c>
      <c r="Z122" s="11" t="n">
        <f aca="false">MIN(IF(P122&gt;0,Calculator!$B$13,0)+T122+Calculator!$B$14,'Tax Tables'!$B$36)</f>
        <v>11900</v>
      </c>
      <c r="AA122" s="11" t="n">
        <f aca="false">MAX(P122-Z122,0)</f>
        <v>42600</v>
      </c>
      <c r="AB122" s="11" t="n">
        <f aca="false">SUMPRODUCT((AA122&gt;'Tax Tables'!$A$5:$A$17)*(AA122-'Tax Tables'!$A$5:$A$17)*'Tax Tables'!$C$5:$C$17)</f>
        <v>732</v>
      </c>
      <c r="AC122" s="11" t="n">
        <f aca="false">IF(W122&lt;0,-1E+099,P122-T122-AB122+Y122+(T122+U122)*Calculator!$B$9)</f>
        <v>359421</v>
      </c>
    </row>
    <row r="123" customFormat="false" ht="15" hidden="false" customHeight="false" outlineLevel="0" collapsed="false">
      <c r="A123" s="11" t="n">
        <f aca="false">110*$B$3</f>
        <v>55000</v>
      </c>
      <c r="B123" s="11" t="n">
        <f aca="false">0</f>
        <v>0</v>
      </c>
      <c r="C123" s="11" t="n">
        <f aca="false">A123-B123</f>
        <v>55000</v>
      </c>
      <c r="D123" s="11" t="n">
        <f aca="false">IF(Calculator!$B$6="Yes",MIN(B123,'Tax Tables'!$B$31*'Tax Tables'!$B$32),0)</f>
        <v>0</v>
      </c>
      <c r="E123" s="11" t="n">
        <f aca="false">D123*Calculator!$B$7</f>
        <v>0</v>
      </c>
      <c r="F123" s="11" t="n">
        <f aca="false">D123*Calculator!$B$8</f>
        <v>0</v>
      </c>
      <c r="G123" s="11" t="n">
        <f aca="false">IF(B123&gt;0,'Tax Tables'!$B$32*MIN(MAX(B123/'Tax Tables'!$B$32*'Tax Tables'!$B$33,'Tax Tables'!$B$34),'Tax Tables'!$B$35),0)</f>
        <v>0</v>
      </c>
      <c r="H123" s="11" t="n">
        <f aca="false">Calculator!$B$5-A123-F123-G123</f>
        <v>345000</v>
      </c>
      <c r="I123" s="11" t="n">
        <f aca="false">'Tax Tables'!$B$22*(MAX(H123,0)-IF(Calculator!$B$10="Yes",MIN(MAX(H123,0),'Tax Tables'!$B$27)*'Tax Tables'!$B$28+MIN(MAX(MAX(H123,0)-'Tax Tables'!$B$27,0),'Tax Tables'!$B$29)*'Tax Tables'!$B$30,MIN(MAX(H123,0),'Tax Tables'!$B$23)*'Tax Tables'!$B$24+MIN(MAX(MAX(H123,0)-'Tax Tables'!$B$23,0),'Tax Tables'!$B$25)*'Tax Tables'!$B$26))*1-MIN('Tax Tables'!$B$22*(MAX(H123,0)-IF(Calculator!$B$10="Yes",MIN(MAX(H123,0),'Tax Tables'!$B$27)*'Tax Tables'!$B$28+MIN(MAX(MAX(H123,0)-'Tax Tables'!$B$27,0),'Tax Tables'!$B$29)*'Tax Tables'!$B$30,MIN(MAX(H123,0),'Tax Tables'!$B$23)*'Tax Tables'!$B$24+MIN(MAX(MAX(H123,0)-'Tax Tables'!$B$23,0),'Tax Tables'!$B$25)*'Tax Tables'!$B$26))*Calculator!$B$11,Calculator!$B$12)</f>
        <v>41225</v>
      </c>
      <c r="J123" s="11" t="n">
        <f aca="false">MAX(H123,0)-I123</f>
        <v>303775</v>
      </c>
      <c r="K123" s="11" t="n">
        <f aca="false">MIN(IF(A123&gt;0,Calculator!$B$13,0)+E123+Calculator!$B$14,'Tax Tables'!$B$36)</f>
        <v>1000</v>
      </c>
      <c r="L123" s="11" t="n">
        <f aca="false">MAX(A123-K123,0)</f>
        <v>54000</v>
      </c>
      <c r="M123" s="11" t="n">
        <f aca="false">SUMPRODUCT((L123&gt;'Tax Tables'!$A$5:$A$17)*(L123-'Tax Tables'!$A$5:$A$17)*'Tax Tables'!$C$5:$C$17)</f>
        <v>1530</v>
      </c>
      <c r="N123" s="11" t="n">
        <f aca="false">IF(H123&lt;0,-1E+099,A123-E123-M123+J123+(E123+F123)*Calculator!$B$9)</f>
        <v>357245</v>
      </c>
      <c r="O123" s="2"/>
      <c r="P123" s="11" t="n">
        <f aca="false">110*$B$3</f>
        <v>55000</v>
      </c>
      <c r="Q123" s="11" t="n">
        <f aca="false">MIN(P123,'Tax Tables'!$B$31*'Tax Tables'!$B$32)</f>
        <v>55000</v>
      </c>
      <c r="R123" s="11" t="n">
        <f aca="false">P123-Q123</f>
        <v>0</v>
      </c>
      <c r="S123" s="11" t="n">
        <f aca="false">IF(Calculator!$B$6="Yes",MIN(Q123,'Tax Tables'!$B$31*'Tax Tables'!$B$32),0)</f>
        <v>55000</v>
      </c>
      <c r="T123" s="11" t="n">
        <f aca="false">S123*Calculator!$B$7</f>
        <v>11000</v>
      </c>
      <c r="U123" s="11" t="n">
        <f aca="false">S123*Calculator!$B$8</f>
        <v>9350</v>
      </c>
      <c r="V123" s="11" t="n">
        <f aca="false">IF(Q123&gt;0,'Tax Tables'!$B$32*MIN(MAX(Q123/'Tax Tables'!$B$32*'Tax Tables'!$B$33,'Tax Tables'!$B$34),'Tax Tables'!$B$35),0)</f>
        <v>135</v>
      </c>
      <c r="W123" s="11" t="n">
        <f aca="false">Calculator!$B$5-P123-U123-V123</f>
        <v>335515</v>
      </c>
      <c r="X123" s="11" t="n">
        <f aca="false">'Tax Tables'!$B$22*(MAX(W123,0)-IF(Calculator!$B$10="Yes",MIN(MAX(W123,0),'Tax Tables'!$B$27)*'Tax Tables'!$B$28+MIN(MAX(MAX(W123,0)-'Tax Tables'!$B$27,0),'Tax Tables'!$B$29)*'Tax Tables'!$B$30,MIN(MAX(W123,0),'Tax Tables'!$B$23)*'Tax Tables'!$B$24+MIN(MAX(MAX(W123,0)-'Tax Tables'!$B$23,0),'Tax Tables'!$B$25)*'Tax Tables'!$B$26))*1-MIN('Tax Tables'!$B$22*(MAX(W123,0)-IF(Calculator!$B$10="Yes",MIN(MAX(W123,0),'Tax Tables'!$B$27)*'Tax Tables'!$B$28+MIN(MAX(MAX(W123,0)-'Tax Tables'!$B$27,0),'Tax Tables'!$B$29)*'Tax Tables'!$B$30,MIN(MAX(W123,0),'Tax Tables'!$B$23)*'Tax Tables'!$B$24+MIN(MAX(MAX(W123,0)-'Tax Tables'!$B$23,0),'Tax Tables'!$B$25)*'Tax Tables'!$B$26))*Calculator!$B$11,Calculator!$B$12)</f>
        <v>39612.55</v>
      </c>
      <c r="Y123" s="11" t="n">
        <f aca="false">MAX(W123,0)-X123</f>
        <v>295902.45</v>
      </c>
      <c r="Z123" s="11" t="n">
        <f aca="false">MIN(IF(P123&gt;0,Calculator!$B$13,0)+T123+Calculator!$B$14,'Tax Tables'!$B$36)</f>
        <v>12000</v>
      </c>
      <c r="AA123" s="11" t="n">
        <f aca="false">MAX(P123-Z123,0)</f>
        <v>43000</v>
      </c>
      <c r="AB123" s="11" t="n">
        <f aca="false">SUMPRODUCT((AA123&gt;'Tax Tables'!$A$5:$A$17)*(AA123-'Tax Tables'!$A$5:$A$17)*'Tax Tables'!$C$5:$C$17)</f>
        <v>760</v>
      </c>
      <c r="AC123" s="11" t="n">
        <f aca="false">IF(W123&lt;0,-1E+099,P123-T123-AB123+Y123+(T123+U123)*Calculator!$B$9)</f>
        <v>359492.45</v>
      </c>
    </row>
    <row r="124" customFormat="false" ht="15" hidden="false" customHeight="false" outlineLevel="0" collapsed="false">
      <c r="A124" s="11" t="n">
        <f aca="false">111*$B$3</f>
        <v>55500</v>
      </c>
      <c r="B124" s="11" t="n">
        <f aca="false">0</f>
        <v>0</v>
      </c>
      <c r="C124" s="11" t="n">
        <f aca="false">A124-B124</f>
        <v>55500</v>
      </c>
      <c r="D124" s="11" t="n">
        <f aca="false">IF(Calculator!$B$6="Yes",MIN(B124,'Tax Tables'!$B$31*'Tax Tables'!$B$32),0)</f>
        <v>0</v>
      </c>
      <c r="E124" s="11" t="n">
        <f aca="false">D124*Calculator!$B$7</f>
        <v>0</v>
      </c>
      <c r="F124" s="11" t="n">
        <f aca="false">D124*Calculator!$B$8</f>
        <v>0</v>
      </c>
      <c r="G124" s="11" t="n">
        <f aca="false">IF(B124&gt;0,'Tax Tables'!$B$32*MIN(MAX(B124/'Tax Tables'!$B$32*'Tax Tables'!$B$33,'Tax Tables'!$B$34),'Tax Tables'!$B$35),0)</f>
        <v>0</v>
      </c>
      <c r="H124" s="11" t="n">
        <f aca="false">Calculator!$B$5-A124-F124-G124</f>
        <v>344500</v>
      </c>
      <c r="I124" s="11" t="n">
        <f aca="false">'Tax Tables'!$B$22*(MAX(H124,0)-IF(Calculator!$B$10="Yes",MIN(MAX(H124,0),'Tax Tables'!$B$27)*'Tax Tables'!$B$28+MIN(MAX(MAX(H124,0)-'Tax Tables'!$B$27,0),'Tax Tables'!$B$29)*'Tax Tables'!$B$30,MIN(MAX(H124,0),'Tax Tables'!$B$23)*'Tax Tables'!$B$24+MIN(MAX(MAX(H124,0)-'Tax Tables'!$B$23,0),'Tax Tables'!$B$25)*'Tax Tables'!$B$26))*1-MIN('Tax Tables'!$B$22*(MAX(H124,0)-IF(Calculator!$B$10="Yes",MIN(MAX(H124,0),'Tax Tables'!$B$27)*'Tax Tables'!$B$28+MIN(MAX(MAX(H124,0)-'Tax Tables'!$B$27,0),'Tax Tables'!$B$29)*'Tax Tables'!$B$30,MIN(MAX(H124,0),'Tax Tables'!$B$23)*'Tax Tables'!$B$24+MIN(MAX(MAX(H124,0)-'Tax Tables'!$B$23,0),'Tax Tables'!$B$25)*'Tax Tables'!$B$26))*Calculator!$B$11,Calculator!$B$12)</f>
        <v>41140</v>
      </c>
      <c r="J124" s="11" t="n">
        <f aca="false">MAX(H124,0)-I124</f>
        <v>303360</v>
      </c>
      <c r="K124" s="11" t="n">
        <f aca="false">MIN(IF(A124&gt;0,Calculator!$B$13,0)+E124+Calculator!$B$14,'Tax Tables'!$B$36)</f>
        <v>1000</v>
      </c>
      <c r="L124" s="11" t="n">
        <f aca="false">MAX(A124-K124,0)</f>
        <v>54500</v>
      </c>
      <c r="M124" s="11" t="n">
        <f aca="false">SUMPRODUCT((L124&gt;'Tax Tables'!$A$5:$A$17)*(L124-'Tax Tables'!$A$5:$A$17)*'Tax Tables'!$C$5:$C$17)</f>
        <v>1565</v>
      </c>
      <c r="N124" s="11" t="n">
        <f aca="false">IF(H124&lt;0,-1E+099,A124-E124-M124+J124+(E124+F124)*Calculator!$B$9)</f>
        <v>357295</v>
      </c>
      <c r="O124" s="2"/>
      <c r="P124" s="11" t="n">
        <f aca="false">111*$B$3</f>
        <v>55500</v>
      </c>
      <c r="Q124" s="11" t="n">
        <f aca="false">MIN(P124,'Tax Tables'!$B$31*'Tax Tables'!$B$32)</f>
        <v>55500</v>
      </c>
      <c r="R124" s="11" t="n">
        <f aca="false">P124-Q124</f>
        <v>0</v>
      </c>
      <c r="S124" s="11" t="n">
        <f aca="false">IF(Calculator!$B$6="Yes",MIN(Q124,'Tax Tables'!$B$31*'Tax Tables'!$B$32),0)</f>
        <v>55500</v>
      </c>
      <c r="T124" s="11" t="n">
        <f aca="false">S124*Calculator!$B$7</f>
        <v>11100</v>
      </c>
      <c r="U124" s="11" t="n">
        <f aca="false">S124*Calculator!$B$8</f>
        <v>9435</v>
      </c>
      <c r="V124" s="11" t="n">
        <f aca="false">IF(Q124&gt;0,'Tax Tables'!$B$32*MIN(MAX(Q124/'Tax Tables'!$B$32*'Tax Tables'!$B$33,'Tax Tables'!$B$34),'Tax Tables'!$B$35),0)</f>
        <v>135</v>
      </c>
      <c r="W124" s="11" t="n">
        <f aca="false">Calculator!$B$5-P124-U124-V124</f>
        <v>334930</v>
      </c>
      <c r="X124" s="11" t="n">
        <f aca="false">'Tax Tables'!$B$22*(MAX(W124,0)-IF(Calculator!$B$10="Yes",MIN(MAX(W124,0),'Tax Tables'!$B$27)*'Tax Tables'!$B$28+MIN(MAX(MAX(W124,0)-'Tax Tables'!$B$27,0),'Tax Tables'!$B$29)*'Tax Tables'!$B$30,MIN(MAX(W124,0),'Tax Tables'!$B$23)*'Tax Tables'!$B$24+MIN(MAX(MAX(W124,0)-'Tax Tables'!$B$23,0),'Tax Tables'!$B$25)*'Tax Tables'!$B$26))*1-MIN('Tax Tables'!$B$22*(MAX(W124,0)-IF(Calculator!$B$10="Yes",MIN(MAX(W124,0),'Tax Tables'!$B$27)*'Tax Tables'!$B$28+MIN(MAX(MAX(W124,0)-'Tax Tables'!$B$27,0),'Tax Tables'!$B$29)*'Tax Tables'!$B$30,MIN(MAX(W124,0),'Tax Tables'!$B$23)*'Tax Tables'!$B$24+MIN(MAX(MAX(W124,0)-'Tax Tables'!$B$23,0),'Tax Tables'!$B$25)*'Tax Tables'!$B$26))*Calculator!$B$11,Calculator!$B$12)</f>
        <v>39513.1</v>
      </c>
      <c r="Y124" s="11" t="n">
        <f aca="false">MAX(W124,0)-X124</f>
        <v>295416.9</v>
      </c>
      <c r="Z124" s="11" t="n">
        <f aca="false">MIN(IF(P124&gt;0,Calculator!$B$13,0)+T124+Calculator!$B$14,'Tax Tables'!$B$36)</f>
        <v>12100</v>
      </c>
      <c r="AA124" s="11" t="n">
        <f aca="false">MAX(P124-Z124,0)</f>
        <v>43400</v>
      </c>
      <c r="AB124" s="11" t="n">
        <f aca="false">SUMPRODUCT((AA124&gt;'Tax Tables'!$A$5:$A$17)*(AA124-'Tax Tables'!$A$5:$A$17)*'Tax Tables'!$C$5:$C$17)</f>
        <v>788</v>
      </c>
      <c r="AC124" s="11" t="n">
        <f aca="false">IF(W124&lt;0,-1E+099,P124-T124-AB124+Y124+(T124+U124)*Calculator!$B$9)</f>
        <v>359563.9</v>
      </c>
    </row>
    <row r="125" customFormat="false" ht="15" hidden="false" customHeight="false" outlineLevel="0" collapsed="false">
      <c r="A125" s="11" t="n">
        <f aca="false">112*$B$3</f>
        <v>56000</v>
      </c>
      <c r="B125" s="11" t="n">
        <f aca="false">0</f>
        <v>0</v>
      </c>
      <c r="C125" s="11" t="n">
        <f aca="false">A125-B125</f>
        <v>56000</v>
      </c>
      <c r="D125" s="11" t="n">
        <f aca="false">IF(Calculator!$B$6="Yes",MIN(B125,'Tax Tables'!$B$31*'Tax Tables'!$B$32),0)</f>
        <v>0</v>
      </c>
      <c r="E125" s="11" t="n">
        <f aca="false">D125*Calculator!$B$7</f>
        <v>0</v>
      </c>
      <c r="F125" s="11" t="n">
        <f aca="false">D125*Calculator!$B$8</f>
        <v>0</v>
      </c>
      <c r="G125" s="11" t="n">
        <f aca="false">IF(B125&gt;0,'Tax Tables'!$B$32*MIN(MAX(B125/'Tax Tables'!$B$32*'Tax Tables'!$B$33,'Tax Tables'!$B$34),'Tax Tables'!$B$35),0)</f>
        <v>0</v>
      </c>
      <c r="H125" s="11" t="n">
        <f aca="false">Calculator!$B$5-A125-F125-G125</f>
        <v>344000</v>
      </c>
      <c r="I125" s="11" t="n">
        <f aca="false">'Tax Tables'!$B$22*(MAX(H125,0)-IF(Calculator!$B$10="Yes",MIN(MAX(H125,0),'Tax Tables'!$B$27)*'Tax Tables'!$B$28+MIN(MAX(MAX(H125,0)-'Tax Tables'!$B$27,0),'Tax Tables'!$B$29)*'Tax Tables'!$B$30,MIN(MAX(H125,0),'Tax Tables'!$B$23)*'Tax Tables'!$B$24+MIN(MAX(MAX(H125,0)-'Tax Tables'!$B$23,0),'Tax Tables'!$B$25)*'Tax Tables'!$B$26))*1-MIN('Tax Tables'!$B$22*(MAX(H125,0)-IF(Calculator!$B$10="Yes",MIN(MAX(H125,0),'Tax Tables'!$B$27)*'Tax Tables'!$B$28+MIN(MAX(MAX(H125,0)-'Tax Tables'!$B$27,0),'Tax Tables'!$B$29)*'Tax Tables'!$B$30,MIN(MAX(H125,0),'Tax Tables'!$B$23)*'Tax Tables'!$B$24+MIN(MAX(MAX(H125,0)-'Tax Tables'!$B$23,0),'Tax Tables'!$B$25)*'Tax Tables'!$B$26))*Calculator!$B$11,Calculator!$B$12)</f>
        <v>41055</v>
      </c>
      <c r="J125" s="11" t="n">
        <f aca="false">MAX(H125,0)-I125</f>
        <v>302945</v>
      </c>
      <c r="K125" s="11" t="n">
        <f aca="false">MIN(IF(A125&gt;0,Calculator!$B$13,0)+E125+Calculator!$B$14,'Tax Tables'!$B$36)</f>
        <v>1000</v>
      </c>
      <c r="L125" s="11" t="n">
        <f aca="false">MAX(A125-K125,0)</f>
        <v>55000</v>
      </c>
      <c r="M125" s="11" t="n">
        <f aca="false">SUMPRODUCT((L125&gt;'Tax Tables'!$A$5:$A$17)*(L125-'Tax Tables'!$A$5:$A$17)*'Tax Tables'!$C$5:$C$17)</f>
        <v>1600</v>
      </c>
      <c r="N125" s="11" t="n">
        <f aca="false">IF(H125&lt;0,-1E+099,A125-E125-M125+J125+(E125+F125)*Calculator!$B$9)</f>
        <v>357345</v>
      </c>
      <c r="O125" s="2"/>
      <c r="P125" s="11" t="n">
        <f aca="false">112*$B$3</f>
        <v>56000</v>
      </c>
      <c r="Q125" s="11" t="n">
        <f aca="false">MIN(P125,'Tax Tables'!$B$31*'Tax Tables'!$B$32)</f>
        <v>56000</v>
      </c>
      <c r="R125" s="11" t="n">
        <f aca="false">P125-Q125</f>
        <v>0</v>
      </c>
      <c r="S125" s="11" t="n">
        <f aca="false">IF(Calculator!$B$6="Yes",MIN(Q125,'Tax Tables'!$B$31*'Tax Tables'!$B$32),0)</f>
        <v>56000</v>
      </c>
      <c r="T125" s="11" t="n">
        <f aca="false">S125*Calculator!$B$7</f>
        <v>11200</v>
      </c>
      <c r="U125" s="11" t="n">
        <f aca="false">S125*Calculator!$B$8</f>
        <v>9520</v>
      </c>
      <c r="V125" s="11" t="n">
        <f aca="false">IF(Q125&gt;0,'Tax Tables'!$B$32*MIN(MAX(Q125/'Tax Tables'!$B$32*'Tax Tables'!$B$33,'Tax Tables'!$B$34),'Tax Tables'!$B$35),0)</f>
        <v>135</v>
      </c>
      <c r="W125" s="11" t="n">
        <f aca="false">Calculator!$B$5-P125-U125-V125</f>
        <v>334345</v>
      </c>
      <c r="X125" s="11" t="n">
        <f aca="false">'Tax Tables'!$B$22*(MAX(W125,0)-IF(Calculator!$B$10="Yes",MIN(MAX(W125,0),'Tax Tables'!$B$27)*'Tax Tables'!$B$28+MIN(MAX(MAX(W125,0)-'Tax Tables'!$B$27,0),'Tax Tables'!$B$29)*'Tax Tables'!$B$30,MIN(MAX(W125,0),'Tax Tables'!$B$23)*'Tax Tables'!$B$24+MIN(MAX(MAX(W125,0)-'Tax Tables'!$B$23,0),'Tax Tables'!$B$25)*'Tax Tables'!$B$26))*1-MIN('Tax Tables'!$B$22*(MAX(W125,0)-IF(Calculator!$B$10="Yes",MIN(MAX(W125,0),'Tax Tables'!$B$27)*'Tax Tables'!$B$28+MIN(MAX(MAX(W125,0)-'Tax Tables'!$B$27,0),'Tax Tables'!$B$29)*'Tax Tables'!$B$30,MIN(MAX(W125,0),'Tax Tables'!$B$23)*'Tax Tables'!$B$24+MIN(MAX(MAX(W125,0)-'Tax Tables'!$B$23,0),'Tax Tables'!$B$25)*'Tax Tables'!$B$26))*Calculator!$B$11,Calculator!$B$12)</f>
        <v>39413.65</v>
      </c>
      <c r="Y125" s="11" t="n">
        <f aca="false">MAX(W125,0)-X125</f>
        <v>294931.35</v>
      </c>
      <c r="Z125" s="11" t="n">
        <f aca="false">MIN(IF(P125&gt;0,Calculator!$B$13,0)+T125+Calculator!$B$14,'Tax Tables'!$B$36)</f>
        <v>12200</v>
      </c>
      <c r="AA125" s="11" t="n">
        <f aca="false">MAX(P125-Z125,0)</f>
        <v>43800</v>
      </c>
      <c r="AB125" s="11" t="n">
        <f aca="false">SUMPRODUCT((AA125&gt;'Tax Tables'!$A$5:$A$17)*(AA125-'Tax Tables'!$A$5:$A$17)*'Tax Tables'!$C$5:$C$17)</f>
        <v>816</v>
      </c>
      <c r="AC125" s="11" t="n">
        <f aca="false">IF(W125&lt;0,-1E+099,P125-T125-AB125+Y125+(T125+U125)*Calculator!$B$9)</f>
        <v>359635.35</v>
      </c>
    </row>
    <row r="126" customFormat="false" ht="15" hidden="false" customHeight="false" outlineLevel="0" collapsed="false">
      <c r="A126" s="11" t="n">
        <f aca="false">113*$B$3</f>
        <v>56500</v>
      </c>
      <c r="B126" s="11" t="n">
        <f aca="false">0</f>
        <v>0</v>
      </c>
      <c r="C126" s="11" t="n">
        <f aca="false">A126-B126</f>
        <v>56500</v>
      </c>
      <c r="D126" s="11" t="n">
        <f aca="false">IF(Calculator!$B$6="Yes",MIN(B126,'Tax Tables'!$B$31*'Tax Tables'!$B$32),0)</f>
        <v>0</v>
      </c>
      <c r="E126" s="11" t="n">
        <f aca="false">D126*Calculator!$B$7</f>
        <v>0</v>
      </c>
      <c r="F126" s="11" t="n">
        <f aca="false">D126*Calculator!$B$8</f>
        <v>0</v>
      </c>
      <c r="G126" s="11" t="n">
        <f aca="false">IF(B126&gt;0,'Tax Tables'!$B$32*MIN(MAX(B126/'Tax Tables'!$B$32*'Tax Tables'!$B$33,'Tax Tables'!$B$34),'Tax Tables'!$B$35),0)</f>
        <v>0</v>
      </c>
      <c r="H126" s="11" t="n">
        <f aca="false">Calculator!$B$5-A126-F126-G126</f>
        <v>343500</v>
      </c>
      <c r="I126" s="11" t="n">
        <f aca="false">'Tax Tables'!$B$22*(MAX(H126,0)-IF(Calculator!$B$10="Yes",MIN(MAX(H126,0),'Tax Tables'!$B$27)*'Tax Tables'!$B$28+MIN(MAX(MAX(H126,0)-'Tax Tables'!$B$27,0),'Tax Tables'!$B$29)*'Tax Tables'!$B$30,MIN(MAX(H126,0),'Tax Tables'!$B$23)*'Tax Tables'!$B$24+MIN(MAX(MAX(H126,0)-'Tax Tables'!$B$23,0),'Tax Tables'!$B$25)*'Tax Tables'!$B$26))*1-MIN('Tax Tables'!$B$22*(MAX(H126,0)-IF(Calculator!$B$10="Yes",MIN(MAX(H126,0),'Tax Tables'!$B$27)*'Tax Tables'!$B$28+MIN(MAX(MAX(H126,0)-'Tax Tables'!$B$27,0),'Tax Tables'!$B$29)*'Tax Tables'!$B$30,MIN(MAX(H126,0),'Tax Tables'!$B$23)*'Tax Tables'!$B$24+MIN(MAX(MAX(H126,0)-'Tax Tables'!$B$23,0),'Tax Tables'!$B$25)*'Tax Tables'!$B$26))*Calculator!$B$11,Calculator!$B$12)</f>
        <v>40970</v>
      </c>
      <c r="J126" s="11" t="n">
        <f aca="false">MAX(H126,0)-I126</f>
        <v>302530</v>
      </c>
      <c r="K126" s="11" t="n">
        <f aca="false">MIN(IF(A126&gt;0,Calculator!$B$13,0)+E126+Calculator!$B$14,'Tax Tables'!$B$36)</f>
        <v>1000</v>
      </c>
      <c r="L126" s="11" t="n">
        <f aca="false">MAX(A126-K126,0)</f>
        <v>55500</v>
      </c>
      <c r="M126" s="11" t="n">
        <f aca="false">SUMPRODUCT((L126&gt;'Tax Tables'!$A$5:$A$17)*(L126-'Tax Tables'!$A$5:$A$17)*'Tax Tables'!$C$5:$C$17)</f>
        <v>1635</v>
      </c>
      <c r="N126" s="11" t="n">
        <f aca="false">IF(H126&lt;0,-1E+099,A126-E126-M126+J126+(E126+F126)*Calculator!$B$9)</f>
        <v>357395</v>
      </c>
      <c r="O126" s="2"/>
      <c r="P126" s="11" t="n">
        <f aca="false">113*$B$3</f>
        <v>56500</v>
      </c>
      <c r="Q126" s="11" t="n">
        <f aca="false">MIN(P126,'Tax Tables'!$B$31*'Tax Tables'!$B$32)</f>
        <v>56500</v>
      </c>
      <c r="R126" s="11" t="n">
        <f aca="false">P126-Q126</f>
        <v>0</v>
      </c>
      <c r="S126" s="11" t="n">
        <f aca="false">IF(Calculator!$B$6="Yes",MIN(Q126,'Tax Tables'!$B$31*'Tax Tables'!$B$32),0)</f>
        <v>56500</v>
      </c>
      <c r="T126" s="11" t="n">
        <f aca="false">S126*Calculator!$B$7</f>
        <v>11300</v>
      </c>
      <c r="U126" s="11" t="n">
        <f aca="false">S126*Calculator!$B$8</f>
        <v>9605</v>
      </c>
      <c r="V126" s="11" t="n">
        <f aca="false">IF(Q126&gt;0,'Tax Tables'!$B$32*MIN(MAX(Q126/'Tax Tables'!$B$32*'Tax Tables'!$B$33,'Tax Tables'!$B$34),'Tax Tables'!$B$35),0)</f>
        <v>135</v>
      </c>
      <c r="W126" s="11" t="n">
        <f aca="false">Calculator!$B$5-P126-U126-V126</f>
        <v>333760</v>
      </c>
      <c r="X126" s="11" t="n">
        <f aca="false">'Tax Tables'!$B$22*(MAX(W126,0)-IF(Calculator!$B$10="Yes",MIN(MAX(W126,0),'Tax Tables'!$B$27)*'Tax Tables'!$B$28+MIN(MAX(MAX(W126,0)-'Tax Tables'!$B$27,0),'Tax Tables'!$B$29)*'Tax Tables'!$B$30,MIN(MAX(W126,0),'Tax Tables'!$B$23)*'Tax Tables'!$B$24+MIN(MAX(MAX(W126,0)-'Tax Tables'!$B$23,0),'Tax Tables'!$B$25)*'Tax Tables'!$B$26))*1-MIN('Tax Tables'!$B$22*(MAX(W126,0)-IF(Calculator!$B$10="Yes",MIN(MAX(W126,0),'Tax Tables'!$B$27)*'Tax Tables'!$B$28+MIN(MAX(MAX(W126,0)-'Tax Tables'!$B$27,0),'Tax Tables'!$B$29)*'Tax Tables'!$B$30,MIN(MAX(W126,0),'Tax Tables'!$B$23)*'Tax Tables'!$B$24+MIN(MAX(MAX(W126,0)-'Tax Tables'!$B$23,0),'Tax Tables'!$B$25)*'Tax Tables'!$B$26))*Calculator!$B$11,Calculator!$B$12)</f>
        <v>39314.2</v>
      </c>
      <c r="Y126" s="11" t="n">
        <f aca="false">MAX(W126,0)-X126</f>
        <v>294445.8</v>
      </c>
      <c r="Z126" s="11" t="n">
        <f aca="false">MIN(IF(P126&gt;0,Calculator!$B$13,0)+T126+Calculator!$B$14,'Tax Tables'!$B$36)</f>
        <v>12300</v>
      </c>
      <c r="AA126" s="11" t="n">
        <f aca="false">MAX(P126-Z126,0)</f>
        <v>44200</v>
      </c>
      <c r="AB126" s="11" t="n">
        <f aca="false">SUMPRODUCT((AA126&gt;'Tax Tables'!$A$5:$A$17)*(AA126-'Tax Tables'!$A$5:$A$17)*'Tax Tables'!$C$5:$C$17)</f>
        <v>844</v>
      </c>
      <c r="AC126" s="11" t="n">
        <f aca="false">IF(W126&lt;0,-1E+099,P126-T126-AB126+Y126+(T126+U126)*Calculator!$B$9)</f>
        <v>359706.8</v>
      </c>
    </row>
    <row r="127" customFormat="false" ht="15" hidden="false" customHeight="false" outlineLevel="0" collapsed="false">
      <c r="A127" s="11" t="n">
        <f aca="false">114*$B$3</f>
        <v>57000</v>
      </c>
      <c r="B127" s="11" t="n">
        <f aca="false">0</f>
        <v>0</v>
      </c>
      <c r="C127" s="11" t="n">
        <f aca="false">A127-B127</f>
        <v>57000</v>
      </c>
      <c r="D127" s="11" t="n">
        <f aca="false">IF(Calculator!$B$6="Yes",MIN(B127,'Tax Tables'!$B$31*'Tax Tables'!$B$32),0)</f>
        <v>0</v>
      </c>
      <c r="E127" s="11" t="n">
        <f aca="false">D127*Calculator!$B$7</f>
        <v>0</v>
      </c>
      <c r="F127" s="11" t="n">
        <f aca="false">D127*Calculator!$B$8</f>
        <v>0</v>
      </c>
      <c r="G127" s="11" t="n">
        <f aca="false">IF(B127&gt;0,'Tax Tables'!$B$32*MIN(MAX(B127/'Tax Tables'!$B$32*'Tax Tables'!$B$33,'Tax Tables'!$B$34),'Tax Tables'!$B$35),0)</f>
        <v>0</v>
      </c>
      <c r="H127" s="11" t="n">
        <f aca="false">Calculator!$B$5-A127-F127-G127</f>
        <v>343000</v>
      </c>
      <c r="I127" s="11" t="n">
        <f aca="false">'Tax Tables'!$B$22*(MAX(H127,0)-IF(Calculator!$B$10="Yes",MIN(MAX(H127,0),'Tax Tables'!$B$27)*'Tax Tables'!$B$28+MIN(MAX(MAX(H127,0)-'Tax Tables'!$B$27,0),'Tax Tables'!$B$29)*'Tax Tables'!$B$30,MIN(MAX(H127,0),'Tax Tables'!$B$23)*'Tax Tables'!$B$24+MIN(MAX(MAX(H127,0)-'Tax Tables'!$B$23,0),'Tax Tables'!$B$25)*'Tax Tables'!$B$26))*1-MIN('Tax Tables'!$B$22*(MAX(H127,0)-IF(Calculator!$B$10="Yes",MIN(MAX(H127,0),'Tax Tables'!$B$27)*'Tax Tables'!$B$28+MIN(MAX(MAX(H127,0)-'Tax Tables'!$B$27,0),'Tax Tables'!$B$29)*'Tax Tables'!$B$30,MIN(MAX(H127,0),'Tax Tables'!$B$23)*'Tax Tables'!$B$24+MIN(MAX(MAX(H127,0)-'Tax Tables'!$B$23,0),'Tax Tables'!$B$25)*'Tax Tables'!$B$26))*Calculator!$B$11,Calculator!$B$12)</f>
        <v>40885</v>
      </c>
      <c r="J127" s="11" t="n">
        <f aca="false">MAX(H127,0)-I127</f>
        <v>302115</v>
      </c>
      <c r="K127" s="11" t="n">
        <f aca="false">MIN(IF(A127&gt;0,Calculator!$B$13,0)+E127+Calculator!$B$14,'Tax Tables'!$B$36)</f>
        <v>1000</v>
      </c>
      <c r="L127" s="11" t="n">
        <f aca="false">MAX(A127-K127,0)</f>
        <v>56000</v>
      </c>
      <c r="M127" s="11" t="n">
        <f aca="false">SUMPRODUCT((L127&gt;'Tax Tables'!$A$5:$A$17)*(L127-'Tax Tables'!$A$5:$A$17)*'Tax Tables'!$C$5:$C$17)</f>
        <v>1670</v>
      </c>
      <c r="N127" s="11" t="n">
        <f aca="false">IF(H127&lt;0,-1E+099,A127-E127-M127+J127+(E127+F127)*Calculator!$B$9)</f>
        <v>357445</v>
      </c>
      <c r="O127" s="2"/>
      <c r="P127" s="11" t="n">
        <f aca="false">114*$B$3</f>
        <v>57000</v>
      </c>
      <c r="Q127" s="11" t="n">
        <f aca="false">MIN(P127,'Tax Tables'!$B$31*'Tax Tables'!$B$32)</f>
        <v>57000</v>
      </c>
      <c r="R127" s="11" t="n">
        <f aca="false">P127-Q127</f>
        <v>0</v>
      </c>
      <c r="S127" s="11" t="n">
        <f aca="false">IF(Calculator!$B$6="Yes",MIN(Q127,'Tax Tables'!$B$31*'Tax Tables'!$B$32),0)</f>
        <v>57000</v>
      </c>
      <c r="T127" s="11" t="n">
        <f aca="false">S127*Calculator!$B$7</f>
        <v>11400</v>
      </c>
      <c r="U127" s="11" t="n">
        <f aca="false">S127*Calculator!$B$8</f>
        <v>9690</v>
      </c>
      <c r="V127" s="11" t="n">
        <f aca="false">IF(Q127&gt;0,'Tax Tables'!$B$32*MIN(MAX(Q127/'Tax Tables'!$B$32*'Tax Tables'!$B$33,'Tax Tables'!$B$34),'Tax Tables'!$B$35),0)</f>
        <v>135</v>
      </c>
      <c r="W127" s="11" t="n">
        <f aca="false">Calculator!$B$5-P127-U127-V127</f>
        <v>333175</v>
      </c>
      <c r="X127" s="11" t="n">
        <f aca="false">'Tax Tables'!$B$22*(MAX(W127,0)-IF(Calculator!$B$10="Yes",MIN(MAX(W127,0),'Tax Tables'!$B$27)*'Tax Tables'!$B$28+MIN(MAX(MAX(W127,0)-'Tax Tables'!$B$27,0),'Tax Tables'!$B$29)*'Tax Tables'!$B$30,MIN(MAX(W127,0),'Tax Tables'!$B$23)*'Tax Tables'!$B$24+MIN(MAX(MAX(W127,0)-'Tax Tables'!$B$23,0),'Tax Tables'!$B$25)*'Tax Tables'!$B$26))*1-MIN('Tax Tables'!$B$22*(MAX(W127,0)-IF(Calculator!$B$10="Yes",MIN(MAX(W127,0),'Tax Tables'!$B$27)*'Tax Tables'!$B$28+MIN(MAX(MAX(W127,0)-'Tax Tables'!$B$27,0),'Tax Tables'!$B$29)*'Tax Tables'!$B$30,MIN(MAX(W127,0),'Tax Tables'!$B$23)*'Tax Tables'!$B$24+MIN(MAX(MAX(W127,0)-'Tax Tables'!$B$23,0),'Tax Tables'!$B$25)*'Tax Tables'!$B$26))*Calculator!$B$11,Calculator!$B$12)</f>
        <v>39214.75</v>
      </c>
      <c r="Y127" s="11" t="n">
        <f aca="false">MAX(W127,0)-X127</f>
        <v>293960.25</v>
      </c>
      <c r="Z127" s="11" t="n">
        <f aca="false">MIN(IF(P127&gt;0,Calculator!$B$13,0)+T127+Calculator!$B$14,'Tax Tables'!$B$36)</f>
        <v>12400</v>
      </c>
      <c r="AA127" s="11" t="n">
        <f aca="false">MAX(P127-Z127,0)</f>
        <v>44600</v>
      </c>
      <c r="AB127" s="11" t="n">
        <f aca="false">SUMPRODUCT((AA127&gt;'Tax Tables'!$A$5:$A$17)*(AA127-'Tax Tables'!$A$5:$A$17)*'Tax Tables'!$C$5:$C$17)</f>
        <v>872</v>
      </c>
      <c r="AC127" s="11" t="n">
        <f aca="false">IF(W127&lt;0,-1E+099,P127-T127-AB127+Y127+(T127+U127)*Calculator!$B$9)</f>
        <v>359778.25</v>
      </c>
    </row>
    <row r="128" customFormat="false" ht="15" hidden="false" customHeight="false" outlineLevel="0" collapsed="false">
      <c r="A128" s="11" t="n">
        <f aca="false">115*$B$3</f>
        <v>57500</v>
      </c>
      <c r="B128" s="11" t="n">
        <f aca="false">0</f>
        <v>0</v>
      </c>
      <c r="C128" s="11" t="n">
        <f aca="false">A128-B128</f>
        <v>57500</v>
      </c>
      <c r="D128" s="11" t="n">
        <f aca="false">IF(Calculator!$B$6="Yes",MIN(B128,'Tax Tables'!$B$31*'Tax Tables'!$B$32),0)</f>
        <v>0</v>
      </c>
      <c r="E128" s="11" t="n">
        <f aca="false">D128*Calculator!$B$7</f>
        <v>0</v>
      </c>
      <c r="F128" s="11" t="n">
        <f aca="false">D128*Calculator!$B$8</f>
        <v>0</v>
      </c>
      <c r="G128" s="11" t="n">
        <f aca="false">IF(B128&gt;0,'Tax Tables'!$B$32*MIN(MAX(B128/'Tax Tables'!$B$32*'Tax Tables'!$B$33,'Tax Tables'!$B$34),'Tax Tables'!$B$35),0)</f>
        <v>0</v>
      </c>
      <c r="H128" s="11" t="n">
        <f aca="false">Calculator!$B$5-A128-F128-G128</f>
        <v>342500</v>
      </c>
      <c r="I128" s="11" t="n">
        <f aca="false">'Tax Tables'!$B$22*(MAX(H128,0)-IF(Calculator!$B$10="Yes",MIN(MAX(H128,0),'Tax Tables'!$B$27)*'Tax Tables'!$B$28+MIN(MAX(MAX(H128,0)-'Tax Tables'!$B$27,0),'Tax Tables'!$B$29)*'Tax Tables'!$B$30,MIN(MAX(H128,0),'Tax Tables'!$B$23)*'Tax Tables'!$B$24+MIN(MAX(MAX(H128,0)-'Tax Tables'!$B$23,0),'Tax Tables'!$B$25)*'Tax Tables'!$B$26))*1-MIN('Tax Tables'!$B$22*(MAX(H128,0)-IF(Calculator!$B$10="Yes",MIN(MAX(H128,0),'Tax Tables'!$B$27)*'Tax Tables'!$B$28+MIN(MAX(MAX(H128,0)-'Tax Tables'!$B$27,0),'Tax Tables'!$B$29)*'Tax Tables'!$B$30,MIN(MAX(H128,0),'Tax Tables'!$B$23)*'Tax Tables'!$B$24+MIN(MAX(MAX(H128,0)-'Tax Tables'!$B$23,0),'Tax Tables'!$B$25)*'Tax Tables'!$B$26))*Calculator!$B$11,Calculator!$B$12)</f>
        <v>40800</v>
      </c>
      <c r="J128" s="11" t="n">
        <f aca="false">MAX(H128,0)-I128</f>
        <v>301700</v>
      </c>
      <c r="K128" s="11" t="n">
        <f aca="false">MIN(IF(A128&gt;0,Calculator!$B$13,0)+E128+Calculator!$B$14,'Tax Tables'!$B$36)</f>
        <v>1000</v>
      </c>
      <c r="L128" s="11" t="n">
        <f aca="false">MAX(A128-K128,0)</f>
        <v>56500</v>
      </c>
      <c r="M128" s="11" t="n">
        <f aca="false">SUMPRODUCT((L128&gt;'Tax Tables'!$A$5:$A$17)*(L128-'Tax Tables'!$A$5:$A$17)*'Tax Tables'!$C$5:$C$17)</f>
        <v>1705</v>
      </c>
      <c r="N128" s="11" t="n">
        <f aca="false">IF(H128&lt;0,-1E+099,A128-E128-M128+J128+(E128+F128)*Calculator!$B$9)</f>
        <v>357495</v>
      </c>
      <c r="O128" s="2"/>
      <c r="P128" s="11" t="n">
        <f aca="false">115*$B$3</f>
        <v>57500</v>
      </c>
      <c r="Q128" s="11" t="n">
        <f aca="false">MIN(P128,'Tax Tables'!$B$31*'Tax Tables'!$B$32)</f>
        <v>57500</v>
      </c>
      <c r="R128" s="11" t="n">
        <f aca="false">P128-Q128</f>
        <v>0</v>
      </c>
      <c r="S128" s="11" t="n">
        <f aca="false">IF(Calculator!$B$6="Yes",MIN(Q128,'Tax Tables'!$B$31*'Tax Tables'!$B$32),0)</f>
        <v>57500</v>
      </c>
      <c r="T128" s="11" t="n">
        <f aca="false">S128*Calculator!$B$7</f>
        <v>11500</v>
      </c>
      <c r="U128" s="11" t="n">
        <f aca="false">S128*Calculator!$B$8</f>
        <v>9775</v>
      </c>
      <c r="V128" s="11" t="n">
        <f aca="false">IF(Q128&gt;0,'Tax Tables'!$B$32*MIN(MAX(Q128/'Tax Tables'!$B$32*'Tax Tables'!$B$33,'Tax Tables'!$B$34),'Tax Tables'!$B$35),0)</f>
        <v>135</v>
      </c>
      <c r="W128" s="11" t="n">
        <f aca="false">Calculator!$B$5-P128-U128-V128</f>
        <v>332590</v>
      </c>
      <c r="X128" s="11" t="n">
        <f aca="false">'Tax Tables'!$B$22*(MAX(W128,0)-IF(Calculator!$B$10="Yes",MIN(MAX(W128,0),'Tax Tables'!$B$27)*'Tax Tables'!$B$28+MIN(MAX(MAX(W128,0)-'Tax Tables'!$B$27,0),'Tax Tables'!$B$29)*'Tax Tables'!$B$30,MIN(MAX(W128,0),'Tax Tables'!$B$23)*'Tax Tables'!$B$24+MIN(MAX(MAX(W128,0)-'Tax Tables'!$B$23,0),'Tax Tables'!$B$25)*'Tax Tables'!$B$26))*1-MIN('Tax Tables'!$B$22*(MAX(W128,0)-IF(Calculator!$B$10="Yes",MIN(MAX(W128,0),'Tax Tables'!$B$27)*'Tax Tables'!$B$28+MIN(MAX(MAX(W128,0)-'Tax Tables'!$B$27,0),'Tax Tables'!$B$29)*'Tax Tables'!$B$30,MIN(MAX(W128,0),'Tax Tables'!$B$23)*'Tax Tables'!$B$24+MIN(MAX(MAX(W128,0)-'Tax Tables'!$B$23,0),'Tax Tables'!$B$25)*'Tax Tables'!$B$26))*Calculator!$B$11,Calculator!$B$12)</f>
        <v>39115.3</v>
      </c>
      <c r="Y128" s="11" t="n">
        <f aca="false">MAX(W128,0)-X128</f>
        <v>293474.7</v>
      </c>
      <c r="Z128" s="11" t="n">
        <f aca="false">MIN(IF(P128&gt;0,Calculator!$B$13,0)+T128+Calculator!$B$14,'Tax Tables'!$B$36)</f>
        <v>12500</v>
      </c>
      <c r="AA128" s="11" t="n">
        <f aca="false">MAX(P128-Z128,0)</f>
        <v>45000</v>
      </c>
      <c r="AB128" s="11" t="n">
        <f aca="false">SUMPRODUCT((AA128&gt;'Tax Tables'!$A$5:$A$17)*(AA128-'Tax Tables'!$A$5:$A$17)*'Tax Tables'!$C$5:$C$17)</f>
        <v>900</v>
      </c>
      <c r="AC128" s="11" t="n">
        <f aca="false">IF(W128&lt;0,-1E+099,P128-T128-AB128+Y128+(T128+U128)*Calculator!$B$9)</f>
        <v>359849.7</v>
      </c>
    </row>
    <row r="129" customFormat="false" ht="15" hidden="false" customHeight="false" outlineLevel="0" collapsed="false">
      <c r="A129" s="11" t="n">
        <f aca="false">116*$B$3</f>
        <v>58000</v>
      </c>
      <c r="B129" s="11" t="n">
        <f aca="false">0</f>
        <v>0</v>
      </c>
      <c r="C129" s="11" t="n">
        <f aca="false">A129-B129</f>
        <v>58000</v>
      </c>
      <c r="D129" s="11" t="n">
        <f aca="false">IF(Calculator!$B$6="Yes",MIN(B129,'Tax Tables'!$B$31*'Tax Tables'!$B$32),0)</f>
        <v>0</v>
      </c>
      <c r="E129" s="11" t="n">
        <f aca="false">D129*Calculator!$B$7</f>
        <v>0</v>
      </c>
      <c r="F129" s="11" t="n">
        <f aca="false">D129*Calculator!$B$8</f>
        <v>0</v>
      </c>
      <c r="G129" s="11" t="n">
        <f aca="false">IF(B129&gt;0,'Tax Tables'!$B$32*MIN(MAX(B129/'Tax Tables'!$B$32*'Tax Tables'!$B$33,'Tax Tables'!$B$34),'Tax Tables'!$B$35),0)</f>
        <v>0</v>
      </c>
      <c r="H129" s="11" t="n">
        <f aca="false">Calculator!$B$5-A129-F129-G129</f>
        <v>342000</v>
      </c>
      <c r="I129" s="11" t="n">
        <f aca="false">'Tax Tables'!$B$22*(MAX(H129,0)-IF(Calculator!$B$10="Yes",MIN(MAX(H129,0),'Tax Tables'!$B$27)*'Tax Tables'!$B$28+MIN(MAX(MAX(H129,0)-'Tax Tables'!$B$27,0),'Tax Tables'!$B$29)*'Tax Tables'!$B$30,MIN(MAX(H129,0),'Tax Tables'!$B$23)*'Tax Tables'!$B$24+MIN(MAX(MAX(H129,0)-'Tax Tables'!$B$23,0),'Tax Tables'!$B$25)*'Tax Tables'!$B$26))*1-MIN('Tax Tables'!$B$22*(MAX(H129,0)-IF(Calculator!$B$10="Yes",MIN(MAX(H129,0),'Tax Tables'!$B$27)*'Tax Tables'!$B$28+MIN(MAX(MAX(H129,0)-'Tax Tables'!$B$27,0),'Tax Tables'!$B$29)*'Tax Tables'!$B$30,MIN(MAX(H129,0),'Tax Tables'!$B$23)*'Tax Tables'!$B$24+MIN(MAX(MAX(H129,0)-'Tax Tables'!$B$23,0),'Tax Tables'!$B$25)*'Tax Tables'!$B$26))*Calculator!$B$11,Calculator!$B$12)</f>
        <v>40715</v>
      </c>
      <c r="J129" s="11" t="n">
        <f aca="false">MAX(H129,0)-I129</f>
        <v>301285</v>
      </c>
      <c r="K129" s="11" t="n">
        <f aca="false">MIN(IF(A129&gt;0,Calculator!$B$13,0)+E129+Calculator!$B$14,'Tax Tables'!$B$36)</f>
        <v>1000</v>
      </c>
      <c r="L129" s="11" t="n">
        <f aca="false">MAX(A129-K129,0)</f>
        <v>57000</v>
      </c>
      <c r="M129" s="11" t="n">
        <f aca="false">SUMPRODUCT((L129&gt;'Tax Tables'!$A$5:$A$17)*(L129-'Tax Tables'!$A$5:$A$17)*'Tax Tables'!$C$5:$C$17)</f>
        <v>1740</v>
      </c>
      <c r="N129" s="11" t="n">
        <f aca="false">IF(H129&lt;0,-1E+099,A129-E129-M129+J129+(E129+F129)*Calculator!$B$9)</f>
        <v>357545</v>
      </c>
      <c r="O129" s="2"/>
      <c r="P129" s="11" t="n">
        <f aca="false">116*$B$3</f>
        <v>58000</v>
      </c>
      <c r="Q129" s="11" t="n">
        <f aca="false">MIN(P129,'Tax Tables'!$B$31*'Tax Tables'!$B$32)</f>
        <v>58000</v>
      </c>
      <c r="R129" s="11" t="n">
        <f aca="false">P129-Q129</f>
        <v>0</v>
      </c>
      <c r="S129" s="11" t="n">
        <f aca="false">IF(Calculator!$B$6="Yes",MIN(Q129,'Tax Tables'!$B$31*'Tax Tables'!$B$32),0)</f>
        <v>58000</v>
      </c>
      <c r="T129" s="11" t="n">
        <f aca="false">S129*Calculator!$B$7</f>
        <v>11600</v>
      </c>
      <c r="U129" s="11" t="n">
        <f aca="false">S129*Calculator!$B$8</f>
        <v>9860</v>
      </c>
      <c r="V129" s="11" t="n">
        <f aca="false">IF(Q129&gt;0,'Tax Tables'!$B$32*MIN(MAX(Q129/'Tax Tables'!$B$32*'Tax Tables'!$B$33,'Tax Tables'!$B$34),'Tax Tables'!$B$35),0)</f>
        <v>135</v>
      </c>
      <c r="W129" s="11" t="n">
        <f aca="false">Calculator!$B$5-P129-U129-V129</f>
        <v>332005</v>
      </c>
      <c r="X129" s="11" t="n">
        <f aca="false">'Tax Tables'!$B$22*(MAX(W129,0)-IF(Calculator!$B$10="Yes",MIN(MAX(W129,0),'Tax Tables'!$B$27)*'Tax Tables'!$B$28+MIN(MAX(MAX(W129,0)-'Tax Tables'!$B$27,0),'Tax Tables'!$B$29)*'Tax Tables'!$B$30,MIN(MAX(W129,0),'Tax Tables'!$B$23)*'Tax Tables'!$B$24+MIN(MAX(MAX(W129,0)-'Tax Tables'!$B$23,0),'Tax Tables'!$B$25)*'Tax Tables'!$B$26))*1-MIN('Tax Tables'!$B$22*(MAX(W129,0)-IF(Calculator!$B$10="Yes",MIN(MAX(W129,0),'Tax Tables'!$B$27)*'Tax Tables'!$B$28+MIN(MAX(MAX(W129,0)-'Tax Tables'!$B$27,0),'Tax Tables'!$B$29)*'Tax Tables'!$B$30,MIN(MAX(W129,0),'Tax Tables'!$B$23)*'Tax Tables'!$B$24+MIN(MAX(MAX(W129,0)-'Tax Tables'!$B$23,0),'Tax Tables'!$B$25)*'Tax Tables'!$B$26))*Calculator!$B$11,Calculator!$B$12)</f>
        <v>39015.85</v>
      </c>
      <c r="Y129" s="11" t="n">
        <f aca="false">MAX(W129,0)-X129</f>
        <v>292989.15</v>
      </c>
      <c r="Z129" s="11" t="n">
        <f aca="false">MIN(IF(P129&gt;0,Calculator!$B$13,0)+T129+Calculator!$B$14,'Tax Tables'!$B$36)</f>
        <v>12600</v>
      </c>
      <c r="AA129" s="11" t="n">
        <f aca="false">MAX(P129-Z129,0)</f>
        <v>45400</v>
      </c>
      <c r="AB129" s="11" t="n">
        <f aca="false">SUMPRODUCT((AA129&gt;'Tax Tables'!$A$5:$A$17)*(AA129-'Tax Tables'!$A$5:$A$17)*'Tax Tables'!$C$5:$C$17)</f>
        <v>928</v>
      </c>
      <c r="AC129" s="11" t="n">
        <f aca="false">IF(W129&lt;0,-1E+099,P129-T129-AB129+Y129+(T129+U129)*Calculator!$B$9)</f>
        <v>359921.15</v>
      </c>
    </row>
    <row r="130" customFormat="false" ht="15" hidden="false" customHeight="false" outlineLevel="0" collapsed="false">
      <c r="A130" s="11" t="n">
        <f aca="false">117*$B$3</f>
        <v>58500</v>
      </c>
      <c r="B130" s="11" t="n">
        <f aca="false">0</f>
        <v>0</v>
      </c>
      <c r="C130" s="11" t="n">
        <f aca="false">A130-B130</f>
        <v>58500</v>
      </c>
      <c r="D130" s="11" t="n">
        <f aca="false">IF(Calculator!$B$6="Yes",MIN(B130,'Tax Tables'!$B$31*'Tax Tables'!$B$32),0)</f>
        <v>0</v>
      </c>
      <c r="E130" s="11" t="n">
        <f aca="false">D130*Calculator!$B$7</f>
        <v>0</v>
      </c>
      <c r="F130" s="11" t="n">
        <f aca="false">D130*Calculator!$B$8</f>
        <v>0</v>
      </c>
      <c r="G130" s="11" t="n">
        <f aca="false">IF(B130&gt;0,'Tax Tables'!$B$32*MIN(MAX(B130/'Tax Tables'!$B$32*'Tax Tables'!$B$33,'Tax Tables'!$B$34),'Tax Tables'!$B$35),0)</f>
        <v>0</v>
      </c>
      <c r="H130" s="11" t="n">
        <f aca="false">Calculator!$B$5-A130-F130-G130</f>
        <v>341500</v>
      </c>
      <c r="I130" s="11" t="n">
        <f aca="false">'Tax Tables'!$B$22*(MAX(H130,0)-IF(Calculator!$B$10="Yes",MIN(MAX(H130,0),'Tax Tables'!$B$27)*'Tax Tables'!$B$28+MIN(MAX(MAX(H130,0)-'Tax Tables'!$B$27,0),'Tax Tables'!$B$29)*'Tax Tables'!$B$30,MIN(MAX(H130,0),'Tax Tables'!$B$23)*'Tax Tables'!$B$24+MIN(MAX(MAX(H130,0)-'Tax Tables'!$B$23,0),'Tax Tables'!$B$25)*'Tax Tables'!$B$26))*1-MIN('Tax Tables'!$B$22*(MAX(H130,0)-IF(Calculator!$B$10="Yes",MIN(MAX(H130,0),'Tax Tables'!$B$27)*'Tax Tables'!$B$28+MIN(MAX(MAX(H130,0)-'Tax Tables'!$B$27,0),'Tax Tables'!$B$29)*'Tax Tables'!$B$30,MIN(MAX(H130,0),'Tax Tables'!$B$23)*'Tax Tables'!$B$24+MIN(MAX(MAX(H130,0)-'Tax Tables'!$B$23,0),'Tax Tables'!$B$25)*'Tax Tables'!$B$26))*Calculator!$B$11,Calculator!$B$12)</f>
        <v>40630</v>
      </c>
      <c r="J130" s="11" t="n">
        <f aca="false">MAX(H130,0)-I130</f>
        <v>300870</v>
      </c>
      <c r="K130" s="11" t="n">
        <f aca="false">MIN(IF(A130&gt;0,Calculator!$B$13,0)+E130+Calculator!$B$14,'Tax Tables'!$B$36)</f>
        <v>1000</v>
      </c>
      <c r="L130" s="11" t="n">
        <f aca="false">MAX(A130-K130,0)</f>
        <v>57500</v>
      </c>
      <c r="M130" s="11" t="n">
        <f aca="false">SUMPRODUCT((L130&gt;'Tax Tables'!$A$5:$A$17)*(L130-'Tax Tables'!$A$5:$A$17)*'Tax Tables'!$C$5:$C$17)</f>
        <v>1775</v>
      </c>
      <c r="N130" s="11" t="n">
        <f aca="false">IF(H130&lt;0,-1E+099,A130-E130-M130+J130+(E130+F130)*Calculator!$B$9)</f>
        <v>357595</v>
      </c>
      <c r="O130" s="2"/>
      <c r="P130" s="11" t="n">
        <f aca="false">117*$B$3</f>
        <v>58500</v>
      </c>
      <c r="Q130" s="11" t="n">
        <f aca="false">MIN(P130,'Tax Tables'!$B$31*'Tax Tables'!$B$32)</f>
        <v>58500</v>
      </c>
      <c r="R130" s="11" t="n">
        <f aca="false">P130-Q130</f>
        <v>0</v>
      </c>
      <c r="S130" s="11" t="n">
        <f aca="false">IF(Calculator!$B$6="Yes",MIN(Q130,'Tax Tables'!$B$31*'Tax Tables'!$B$32),0)</f>
        <v>58500</v>
      </c>
      <c r="T130" s="11" t="n">
        <f aca="false">S130*Calculator!$B$7</f>
        <v>11700</v>
      </c>
      <c r="U130" s="11" t="n">
        <f aca="false">S130*Calculator!$B$8</f>
        <v>9945</v>
      </c>
      <c r="V130" s="11" t="n">
        <f aca="false">IF(Q130&gt;0,'Tax Tables'!$B$32*MIN(MAX(Q130/'Tax Tables'!$B$32*'Tax Tables'!$B$33,'Tax Tables'!$B$34),'Tax Tables'!$B$35),0)</f>
        <v>135</v>
      </c>
      <c r="W130" s="11" t="n">
        <f aca="false">Calculator!$B$5-P130-U130-V130</f>
        <v>331420</v>
      </c>
      <c r="X130" s="11" t="n">
        <f aca="false">'Tax Tables'!$B$22*(MAX(W130,0)-IF(Calculator!$B$10="Yes",MIN(MAX(W130,0),'Tax Tables'!$B$27)*'Tax Tables'!$B$28+MIN(MAX(MAX(W130,0)-'Tax Tables'!$B$27,0),'Tax Tables'!$B$29)*'Tax Tables'!$B$30,MIN(MAX(W130,0),'Tax Tables'!$B$23)*'Tax Tables'!$B$24+MIN(MAX(MAX(W130,0)-'Tax Tables'!$B$23,0),'Tax Tables'!$B$25)*'Tax Tables'!$B$26))*1-MIN('Tax Tables'!$B$22*(MAX(W130,0)-IF(Calculator!$B$10="Yes",MIN(MAX(W130,0),'Tax Tables'!$B$27)*'Tax Tables'!$B$28+MIN(MAX(MAX(W130,0)-'Tax Tables'!$B$27,0),'Tax Tables'!$B$29)*'Tax Tables'!$B$30,MIN(MAX(W130,0),'Tax Tables'!$B$23)*'Tax Tables'!$B$24+MIN(MAX(MAX(W130,0)-'Tax Tables'!$B$23,0),'Tax Tables'!$B$25)*'Tax Tables'!$B$26))*Calculator!$B$11,Calculator!$B$12)</f>
        <v>38916.4</v>
      </c>
      <c r="Y130" s="11" t="n">
        <f aca="false">MAX(W130,0)-X130</f>
        <v>292503.6</v>
      </c>
      <c r="Z130" s="11" t="n">
        <f aca="false">MIN(IF(P130&gt;0,Calculator!$B$13,0)+T130+Calculator!$B$14,'Tax Tables'!$B$36)</f>
        <v>12700</v>
      </c>
      <c r="AA130" s="11" t="n">
        <f aca="false">MAX(P130-Z130,0)</f>
        <v>45800</v>
      </c>
      <c r="AB130" s="11" t="n">
        <f aca="false">SUMPRODUCT((AA130&gt;'Tax Tables'!$A$5:$A$17)*(AA130-'Tax Tables'!$A$5:$A$17)*'Tax Tables'!$C$5:$C$17)</f>
        <v>956</v>
      </c>
      <c r="AC130" s="11" t="n">
        <f aca="false">IF(W130&lt;0,-1E+099,P130-T130-AB130+Y130+(T130+U130)*Calculator!$B$9)</f>
        <v>359992.6</v>
      </c>
    </row>
    <row r="131" customFormat="false" ht="15" hidden="false" customHeight="false" outlineLevel="0" collapsed="false">
      <c r="A131" s="11" t="n">
        <f aca="false">118*$B$3</f>
        <v>59000</v>
      </c>
      <c r="B131" s="11" t="n">
        <f aca="false">0</f>
        <v>0</v>
      </c>
      <c r="C131" s="11" t="n">
        <f aca="false">A131-B131</f>
        <v>59000</v>
      </c>
      <c r="D131" s="11" t="n">
        <f aca="false">IF(Calculator!$B$6="Yes",MIN(B131,'Tax Tables'!$B$31*'Tax Tables'!$B$32),0)</f>
        <v>0</v>
      </c>
      <c r="E131" s="11" t="n">
        <f aca="false">D131*Calculator!$B$7</f>
        <v>0</v>
      </c>
      <c r="F131" s="11" t="n">
        <f aca="false">D131*Calculator!$B$8</f>
        <v>0</v>
      </c>
      <c r="G131" s="11" t="n">
        <f aca="false">IF(B131&gt;0,'Tax Tables'!$B$32*MIN(MAX(B131/'Tax Tables'!$B$32*'Tax Tables'!$B$33,'Tax Tables'!$B$34),'Tax Tables'!$B$35),0)</f>
        <v>0</v>
      </c>
      <c r="H131" s="11" t="n">
        <f aca="false">Calculator!$B$5-A131-F131-G131</f>
        <v>341000</v>
      </c>
      <c r="I131" s="11" t="n">
        <f aca="false">'Tax Tables'!$B$22*(MAX(H131,0)-IF(Calculator!$B$10="Yes",MIN(MAX(H131,0),'Tax Tables'!$B$27)*'Tax Tables'!$B$28+MIN(MAX(MAX(H131,0)-'Tax Tables'!$B$27,0),'Tax Tables'!$B$29)*'Tax Tables'!$B$30,MIN(MAX(H131,0),'Tax Tables'!$B$23)*'Tax Tables'!$B$24+MIN(MAX(MAX(H131,0)-'Tax Tables'!$B$23,0),'Tax Tables'!$B$25)*'Tax Tables'!$B$26))*1-MIN('Tax Tables'!$B$22*(MAX(H131,0)-IF(Calculator!$B$10="Yes",MIN(MAX(H131,0),'Tax Tables'!$B$27)*'Tax Tables'!$B$28+MIN(MAX(MAX(H131,0)-'Tax Tables'!$B$27,0),'Tax Tables'!$B$29)*'Tax Tables'!$B$30,MIN(MAX(H131,0),'Tax Tables'!$B$23)*'Tax Tables'!$B$24+MIN(MAX(MAX(H131,0)-'Tax Tables'!$B$23,0),'Tax Tables'!$B$25)*'Tax Tables'!$B$26))*Calculator!$B$11,Calculator!$B$12)</f>
        <v>40545</v>
      </c>
      <c r="J131" s="11" t="n">
        <f aca="false">MAX(H131,0)-I131</f>
        <v>300455</v>
      </c>
      <c r="K131" s="11" t="n">
        <f aca="false">MIN(IF(A131&gt;0,Calculator!$B$13,0)+E131+Calculator!$B$14,'Tax Tables'!$B$36)</f>
        <v>1000</v>
      </c>
      <c r="L131" s="11" t="n">
        <f aca="false">MAX(A131-K131,0)</f>
        <v>58000</v>
      </c>
      <c r="M131" s="11" t="n">
        <f aca="false">SUMPRODUCT((L131&gt;'Tax Tables'!$A$5:$A$17)*(L131-'Tax Tables'!$A$5:$A$17)*'Tax Tables'!$C$5:$C$17)</f>
        <v>1810</v>
      </c>
      <c r="N131" s="11" t="n">
        <f aca="false">IF(H131&lt;0,-1E+099,A131-E131-M131+J131+(E131+F131)*Calculator!$B$9)</f>
        <v>357645</v>
      </c>
      <c r="O131" s="2"/>
      <c r="P131" s="11" t="n">
        <f aca="false">118*$B$3</f>
        <v>59000</v>
      </c>
      <c r="Q131" s="11" t="n">
        <f aca="false">MIN(P131,'Tax Tables'!$B$31*'Tax Tables'!$B$32)</f>
        <v>59000</v>
      </c>
      <c r="R131" s="11" t="n">
        <f aca="false">P131-Q131</f>
        <v>0</v>
      </c>
      <c r="S131" s="11" t="n">
        <f aca="false">IF(Calculator!$B$6="Yes",MIN(Q131,'Tax Tables'!$B$31*'Tax Tables'!$B$32),0)</f>
        <v>59000</v>
      </c>
      <c r="T131" s="11" t="n">
        <f aca="false">S131*Calculator!$B$7</f>
        <v>11800</v>
      </c>
      <c r="U131" s="11" t="n">
        <f aca="false">S131*Calculator!$B$8</f>
        <v>10030</v>
      </c>
      <c r="V131" s="11" t="n">
        <f aca="false">IF(Q131&gt;0,'Tax Tables'!$B$32*MIN(MAX(Q131/'Tax Tables'!$B$32*'Tax Tables'!$B$33,'Tax Tables'!$B$34),'Tax Tables'!$B$35),0)</f>
        <v>135</v>
      </c>
      <c r="W131" s="11" t="n">
        <f aca="false">Calculator!$B$5-P131-U131-V131</f>
        <v>330835</v>
      </c>
      <c r="X131" s="11" t="n">
        <f aca="false">'Tax Tables'!$B$22*(MAX(W131,0)-IF(Calculator!$B$10="Yes",MIN(MAX(W131,0),'Tax Tables'!$B$27)*'Tax Tables'!$B$28+MIN(MAX(MAX(W131,0)-'Tax Tables'!$B$27,0),'Tax Tables'!$B$29)*'Tax Tables'!$B$30,MIN(MAX(W131,0),'Tax Tables'!$B$23)*'Tax Tables'!$B$24+MIN(MAX(MAX(W131,0)-'Tax Tables'!$B$23,0),'Tax Tables'!$B$25)*'Tax Tables'!$B$26))*1-MIN('Tax Tables'!$B$22*(MAX(W131,0)-IF(Calculator!$B$10="Yes",MIN(MAX(W131,0),'Tax Tables'!$B$27)*'Tax Tables'!$B$28+MIN(MAX(MAX(W131,0)-'Tax Tables'!$B$27,0),'Tax Tables'!$B$29)*'Tax Tables'!$B$30,MIN(MAX(W131,0),'Tax Tables'!$B$23)*'Tax Tables'!$B$24+MIN(MAX(MAX(W131,0)-'Tax Tables'!$B$23,0),'Tax Tables'!$B$25)*'Tax Tables'!$B$26))*Calculator!$B$11,Calculator!$B$12)</f>
        <v>38816.95</v>
      </c>
      <c r="Y131" s="11" t="n">
        <f aca="false">MAX(W131,0)-X131</f>
        <v>292018.05</v>
      </c>
      <c r="Z131" s="11" t="n">
        <f aca="false">MIN(IF(P131&gt;0,Calculator!$B$13,0)+T131+Calculator!$B$14,'Tax Tables'!$B$36)</f>
        <v>12800</v>
      </c>
      <c r="AA131" s="11" t="n">
        <f aca="false">MAX(P131-Z131,0)</f>
        <v>46200</v>
      </c>
      <c r="AB131" s="11" t="n">
        <f aca="false">SUMPRODUCT((AA131&gt;'Tax Tables'!$A$5:$A$17)*(AA131-'Tax Tables'!$A$5:$A$17)*'Tax Tables'!$C$5:$C$17)</f>
        <v>984</v>
      </c>
      <c r="AC131" s="11" t="n">
        <f aca="false">IF(W131&lt;0,-1E+099,P131-T131-AB131+Y131+(T131+U131)*Calculator!$B$9)</f>
        <v>360064.05</v>
      </c>
    </row>
    <row r="132" customFormat="false" ht="15" hidden="false" customHeight="false" outlineLevel="0" collapsed="false">
      <c r="A132" s="11" t="n">
        <f aca="false">119*$B$3</f>
        <v>59500</v>
      </c>
      <c r="B132" s="11" t="n">
        <f aca="false">0</f>
        <v>0</v>
      </c>
      <c r="C132" s="11" t="n">
        <f aca="false">A132-B132</f>
        <v>59500</v>
      </c>
      <c r="D132" s="11" t="n">
        <f aca="false">IF(Calculator!$B$6="Yes",MIN(B132,'Tax Tables'!$B$31*'Tax Tables'!$B$32),0)</f>
        <v>0</v>
      </c>
      <c r="E132" s="11" t="n">
        <f aca="false">D132*Calculator!$B$7</f>
        <v>0</v>
      </c>
      <c r="F132" s="11" t="n">
        <f aca="false">D132*Calculator!$B$8</f>
        <v>0</v>
      </c>
      <c r="G132" s="11" t="n">
        <f aca="false">IF(B132&gt;0,'Tax Tables'!$B$32*MIN(MAX(B132/'Tax Tables'!$B$32*'Tax Tables'!$B$33,'Tax Tables'!$B$34),'Tax Tables'!$B$35),0)</f>
        <v>0</v>
      </c>
      <c r="H132" s="11" t="n">
        <f aca="false">Calculator!$B$5-A132-F132-G132</f>
        <v>340500</v>
      </c>
      <c r="I132" s="11" t="n">
        <f aca="false">'Tax Tables'!$B$22*(MAX(H132,0)-IF(Calculator!$B$10="Yes",MIN(MAX(H132,0),'Tax Tables'!$B$27)*'Tax Tables'!$B$28+MIN(MAX(MAX(H132,0)-'Tax Tables'!$B$27,0),'Tax Tables'!$B$29)*'Tax Tables'!$B$30,MIN(MAX(H132,0),'Tax Tables'!$B$23)*'Tax Tables'!$B$24+MIN(MAX(MAX(H132,0)-'Tax Tables'!$B$23,0),'Tax Tables'!$B$25)*'Tax Tables'!$B$26))*1-MIN('Tax Tables'!$B$22*(MAX(H132,0)-IF(Calculator!$B$10="Yes",MIN(MAX(H132,0),'Tax Tables'!$B$27)*'Tax Tables'!$B$28+MIN(MAX(MAX(H132,0)-'Tax Tables'!$B$27,0),'Tax Tables'!$B$29)*'Tax Tables'!$B$30,MIN(MAX(H132,0),'Tax Tables'!$B$23)*'Tax Tables'!$B$24+MIN(MAX(MAX(H132,0)-'Tax Tables'!$B$23,0),'Tax Tables'!$B$25)*'Tax Tables'!$B$26))*Calculator!$B$11,Calculator!$B$12)</f>
        <v>40460</v>
      </c>
      <c r="J132" s="11" t="n">
        <f aca="false">MAX(H132,0)-I132</f>
        <v>300040</v>
      </c>
      <c r="K132" s="11" t="n">
        <f aca="false">MIN(IF(A132&gt;0,Calculator!$B$13,0)+E132+Calculator!$B$14,'Tax Tables'!$B$36)</f>
        <v>1000</v>
      </c>
      <c r="L132" s="11" t="n">
        <f aca="false">MAX(A132-K132,0)</f>
        <v>58500</v>
      </c>
      <c r="M132" s="11" t="n">
        <f aca="false">SUMPRODUCT((L132&gt;'Tax Tables'!$A$5:$A$17)*(L132-'Tax Tables'!$A$5:$A$17)*'Tax Tables'!$C$5:$C$17)</f>
        <v>1845</v>
      </c>
      <c r="N132" s="11" t="n">
        <f aca="false">IF(H132&lt;0,-1E+099,A132-E132-M132+J132+(E132+F132)*Calculator!$B$9)</f>
        <v>357695</v>
      </c>
      <c r="O132" s="2"/>
      <c r="P132" s="11" t="n">
        <f aca="false">119*$B$3</f>
        <v>59500</v>
      </c>
      <c r="Q132" s="11" t="n">
        <f aca="false">MIN(P132,'Tax Tables'!$B$31*'Tax Tables'!$B$32)</f>
        <v>59500</v>
      </c>
      <c r="R132" s="11" t="n">
        <f aca="false">P132-Q132</f>
        <v>0</v>
      </c>
      <c r="S132" s="11" t="n">
        <f aca="false">IF(Calculator!$B$6="Yes",MIN(Q132,'Tax Tables'!$B$31*'Tax Tables'!$B$32),0)</f>
        <v>59500</v>
      </c>
      <c r="T132" s="11" t="n">
        <f aca="false">S132*Calculator!$B$7</f>
        <v>11900</v>
      </c>
      <c r="U132" s="11" t="n">
        <f aca="false">S132*Calculator!$B$8</f>
        <v>10115</v>
      </c>
      <c r="V132" s="11" t="n">
        <f aca="false">IF(Q132&gt;0,'Tax Tables'!$B$32*MIN(MAX(Q132/'Tax Tables'!$B$32*'Tax Tables'!$B$33,'Tax Tables'!$B$34),'Tax Tables'!$B$35),0)</f>
        <v>135</v>
      </c>
      <c r="W132" s="11" t="n">
        <f aca="false">Calculator!$B$5-P132-U132-V132</f>
        <v>330250</v>
      </c>
      <c r="X132" s="11" t="n">
        <f aca="false">'Tax Tables'!$B$22*(MAX(W132,0)-IF(Calculator!$B$10="Yes",MIN(MAX(W132,0),'Tax Tables'!$B$27)*'Tax Tables'!$B$28+MIN(MAX(MAX(W132,0)-'Tax Tables'!$B$27,0),'Tax Tables'!$B$29)*'Tax Tables'!$B$30,MIN(MAX(W132,0),'Tax Tables'!$B$23)*'Tax Tables'!$B$24+MIN(MAX(MAX(W132,0)-'Tax Tables'!$B$23,0),'Tax Tables'!$B$25)*'Tax Tables'!$B$26))*1-MIN('Tax Tables'!$B$22*(MAX(W132,0)-IF(Calculator!$B$10="Yes",MIN(MAX(W132,0),'Tax Tables'!$B$27)*'Tax Tables'!$B$28+MIN(MAX(MAX(W132,0)-'Tax Tables'!$B$27,0),'Tax Tables'!$B$29)*'Tax Tables'!$B$30,MIN(MAX(W132,0),'Tax Tables'!$B$23)*'Tax Tables'!$B$24+MIN(MAX(MAX(W132,0)-'Tax Tables'!$B$23,0),'Tax Tables'!$B$25)*'Tax Tables'!$B$26))*Calculator!$B$11,Calculator!$B$12)</f>
        <v>38717.5</v>
      </c>
      <c r="Y132" s="11" t="n">
        <f aca="false">MAX(W132,0)-X132</f>
        <v>291532.5</v>
      </c>
      <c r="Z132" s="11" t="n">
        <f aca="false">MIN(IF(P132&gt;0,Calculator!$B$13,0)+T132+Calculator!$B$14,'Tax Tables'!$B$36)</f>
        <v>12900</v>
      </c>
      <c r="AA132" s="11" t="n">
        <f aca="false">MAX(P132-Z132,0)</f>
        <v>46600</v>
      </c>
      <c r="AB132" s="11" t="n">
        <f aca="false">SUMPRODUCT((AA132&gt;'Tax Tables'!$A$5:$A$17)*(AA132-'Tax Tables'!$A$5:$A$17)*'Tax Tables'!$C$5:$C$17)</f>
        <v>1012</v>
      </c>
      <c r="AC132" s="11" t="n">
        <f aca="false">IF(W132&lt;0,-1E+099,P132-T132-AB132+Y132+(T132+U132)*Calculator!$B$9)</f>
        <v>360135.5</v>
      </c>
    </row>
    <row r="133" customFormat="false" ht="15" hidden="false" customHeight="false" outlineLevel="0" collapsed="false">
      <c r="A133" s="11" t="n">
        <f aca="false">120*$B$3</f>
        <v>60000</v>
      </c>
      <c r="B133" s="11" t="n">
        <f aca="false">0</f>
        <v>0</v>
      </c>
      <c r="C133" s="11" t="n">
        <f aca="false">A133-B133</f>
        <v>60000</v>
      </c>
      <c r="D133" s="11" t="n">
        <f aca="false">IF(Calculator!$B$6="Yes",MIN(B133,'Tax Tables'!$B$31*'Tax Tables'!$B$32),0)</f>
        <v>0</v>
      </c>
      <c r="E133" s="11" t="n">
        <f aca="false">D133*Calculator!$B$7</f>
        <v>0</v>
      </c>
      <c r="F133" s="11" t="n">
        <f aca="false">D133*Calculator!$B$8</f>
        <v>0</v>
      </c>
      <c r="G133" s="11" t="n">
        <f aca="false">IF(B133&gt;0,'Tax Tables'!$B$32*MIN(MAX(B133/'Tax Tables'!$B$32*'Tax Tables'!$B$33,'Tax Tables'!$B$34),'Tax Tables'!$B$35),0)</f>
        <v>0</v>
      </c>
      <c r="H133" s="11" t="n">
        <f aca="false">Calculator!$B$5-A133-F133-G133</f>
        <v>340000</v>
      </c>
      <c r="I133" s="11" t="n">
        <f aca="false">'Tax Tables'!$B$22*(MAX(H133,0)-IF(Calculator!$B$10="Yes",MIN(MAX(H133,0),'Tax Tables'!$B$27)*'Tax Tables'!$B$28+MIN(MAX(MAX(H133,0)-'Tax Tables'!$B$27,0),'Tax Tables'!$B$29)*'Tax Tables'!$B$30,MIN(MAX(H133,0),'Tax Tables'!$B$23)*'Tax Tables'!$B$24+MIN(MAX(MAX(H133,0)-'Tax Tables'!$B$23,0),'Tax Tables'!$B$25)*'Tax Tables'!$B$26))*1-MIN('Tax Tables'!$B$22*(MAX(H133,0)-IF(Calculator!$B$10="Yes",MIN(MAX(H133,0),'Tax Tables'!$B$27)*'Tax Tables'!$B$28+MIN(MAX(MAX(H133,0)-'Tax Tables'!$B$27,0),'Tax Tables'!$B$29)*'Tax Tables'!$B$30,MIN(MAX(H133,0),'Tax Tables'!$B$23)*'Tax Tables'!$B$24+MIN(MAX(MAX(H133,0)-'Tax Tables'!$B$23,0),'Tax Tables'!$B$25)*'Tax Tables'!$B$26))*Calculator!$B$11,Calculator!$B$12)</f>
        <v>40375</v>
      </c>
      <c r="J133" s="11" t="n">
        <f aca="false">MAX(H133,0)-I133</f>
        <v>299625</v>
      </c>
      <c r="K133" s="11" t="n">
        <f aca="false">MIN(IF(A133&gt;0,Calculator!$B$13,0)+E133+Calculator!$B$14,'Tax Tables'!$B$36)</f>
        <v>1000</v>
      </c>
      <c r="L133" s="11" t="n">
        <f aca="false">MAX(A133-K133,0)</f>
        <v>59000</v>
      </c>
      <c r="M133" s="11" t="n">
        <f aca="false">SUMPRODUCT((L133&gt;'Tax Tables'!$A$5:$A$17)*(L133-'Tax Tables'!$A$5:$A$17)*'Tax Tables'!$C$5:$C$17)</f>
        <v>1880</v>
      </c>
      <c r="N133" s="11" t="n">
        <f aca="false">IF(H133&lt;0,-1E+099,A133-E133-M133+J133+(E133+F133)*Calculator!$B$9)</f>
        <v>357745</v>
      </c>
      <c r="O133" s="2"/>
      <c r="P133" s="11" t="n">
        <f aca="false">120*$B$3</f>
        <v>60000</v>
      </c>
      <c r="Q133" s="11" t="n">
        <f aca="false">MIN(P133,'Tax Tables'!$B$31*'Tax Tables'!$B$32)</f>
        <v>60000</v>
      </c>
      <c r="R133" s="11" t="n">
        <f aca="false">P133-Q133</f>
        <v>0</v>
      </c>
      <c r="S133" s="11" t="n">
        <f aca="false">IF(Calculator!$B$6="Yes",MIN(Q133,'Tax Tables'!$B$31*'Tax Tables'!$B$32),0)</f>
        <v>60000</v>
      </c>
      <c r="T133" s="11" t="n">
        <f aca="false">S133*Calculator!$B$7</f>
        <v>12000</v>
      </c>
      <c r="U133" s="11" t="n">
        <f aca="false">S133*Calculator!$B$8</f>
        <v>10200</v>
      </c>
      <c r="V133" s="11" t="n">
        <f aca="false">IF(Q133&gt;0,'Tax Tables'!$B$32*MIN(MAX(Q133/'Tax Tables'!$B$32*'Tax Tables'!$B$33,'Tax Tables'!$B$34),'Tax Tables'!$B$35),0)</f>
        <v>135</v>
      </c>
      <c r="W133" s="11" t="n">
        <f aca="false">Calculator!$B$5-P133-U133-V133</f>
        <v>329665</v>
      </c>
      <c r="X133" s="11" t="n">
        <f aca="false">'Tax Tables'!$B$22*(MAX(W133,0)-IF(Calculator!$B$10="Yes",MIN(MAX(W133,0),'Tax Tables'!$B$27)*'Tax Tables'!$B$28+MIN(MAX(MAX(W133,0)-'Tax Tables'!$B$27,0),'Tax Tables'!$B$29)*'Tax Tables'!$B$30,MIN(MAX(W133,0),'Tax Tables'!$B$23)*'Tax Tables'!$B$24+MIN(MAX(MAX(W133,0)-'Tax Tables'!$B$23,0),'Tax Tables'!$B$25)*'Tax Tables'!$B$26))*1-MIN('Tax Tables'!$B$22*(MAX(W133,0)-IF(Calculator!$B$10="Yes",MIN(MAX(W133,0),'Tax Tables'!$B$27)*'Tax Tables'!$B$28+MIN(MAX(MAX(W133,0)-'Tax Tables'!$B$27,0),'Tax Tables'!$B$29)*'Tax Tables'!$B$30,MIN(MAX(W133,0),'Tax Tables'!$B$23)*'Tax Tables'!$B$24+MIN(MAX(MAX(W133,0)-'Tax Tables'!$B$23,0),'Tax Tables'!$B$25)*'Tax Tables'!$B$26))*Calculator!$B$11,Calculator!$B$12)</f>
        <v>38618.05</v>
      </c>
      <c r="Y133" s="11" t="n">
        <f aca="false">MAX(W133,0)-X133</f>
        <v>291046.95</v>
      </c>
      <c r="Z133" s="11" t="n">
        <f aca="false">MIN(IF(P133&gt;0,Calculator!$B$13,0)+T133+Calculator!$B$14,'Tax Tables'!$B$36)</f>
        <v>13000</v>
      </c>
      <c r="AA133" s="11" t="n">
        <f aca="false">MAX(P133-Z133,0)</f>
        <v>47000</v>
      </c>
      <c r="AB133" s="11" t="n">
        <f aca="false">SUMPRODUCT((AA133&gt;'Tax Tables'!$A$5:$A$17)*(AA133-'Tax Tables'!$A$5:$A$17)*'Tax Tables'!$C$5:$C$17)</f>
        <v>1040</v>
      </c>
      <c r="AC133" s="11" t="n">
        <f aca="false">IF(W133&lt;0,-1E+099,P133-T133-AB133+Y133+(T133+U133)*Calculator!$B$9)</f>
        <v>360206.95</v>
      </c>
    </row>
    <row r="134" customFormat="false" ht="15" hidden="false" customHeight="false" outlineLevel="0" collapsed="false">
      <c r="A134" s="11" t="n">
        <f aca="false">121*$B$3</f>
        <v>60500</v>
      </c>
      <c r="B134" s="11" t="n">
        <f aca="false">0</f>
        <v>0</v>
      </c>
      <c r="C134" s="11" t="n">
        <f aca="false">A134-B134</f>
        <v>60500</v>
      </c>
      <c r="D134" s="11" t="n">
        <f aca="false">IF(Calculator!$B$6="Yes",MIN(B134,'Tax Tables'!$B$31*'Tax Tables'!$B$32),0)</f>
        <v>0</v>
      </c>
      <c r="E134" s="11" t="n">
        <f aca="false">D134*Calculator!$B$7</f>
        <v>0</v>
      </c>
      <c r="F134" s="11" t="n">
        <f aca="false">D134*Calculator!$B$8</f>
        <v>0</v>
      </c>
      <c r="G134" s="11" t="n">
        <f aca="false">IF(B134&gt;0,'Tax Tables'!$B$32*MIN(MAX(B134/'Tax Tables'!$B$32*'Tax Tables'!$B$33,'Tax Tables'!$B$34),'Tax Tables'!$B$35),0)</f>
        <v>0</v>
      </c>
      <c r="H134" s="11" t="n">
        <f aca="false">Calculator!$B$5-A134-F134-G134</f>
        <v>339500</v>
      </c>
      <c r="I134" s="11" t="n">
        <f aca="false">'Tax Tables'!$B$22*(MAX(H134,0)-IF(Calculator!$B$10="Yes",MIN(MAX(H134,0),'Tax Tables'!$B$27)*'Tax Tables'!$B$28+MIN(MAX(MAX(H134,0)-'Tax Tables'!$B$27,0),'Tax Tables'!$B$29)*'Tax Tables'!$B$30,MIN(MAX(H134,0),'Tax Tables'!$B$23)*'Tax Tables'!$B$24+MIN(MAX(MAX(H134,0)-'Tax Tables'!$B$23,0),'Tax Tables'!$B$25)*'Tax Tables'!$B$26))*1-MIN('Tax Tables'!$B$22*(MAX(H134,0)-IF(Calculator!$B$10="Yes",MIN(MAX(H134,0),'Tax Tables'!$B$27)*'Tax Tables'!$B$28+MIN(MAX(MAX(H134,0)-'Tax Tables'!$B$27,0),'Tax Tables'!$B$29)*'Tax Tables'!$B$30,MIN(MAX(H134,0),'Tax Tables'!$B$23)*'Tax Tables'!$B$24+MIN(MAX(MAX(H134,0)-'Tax Tables'!$B$23,0),'Tax Tables'!$B$25)*'Tax Tables'!$B$26))*Calculator!$B$11,Calculator!$B$12)</f>
        <v>40290</v>
      </c>
      <c r="J134" s="11" t="n">
        <f aca="false">MAX(H134,0)-I134</f>
        <v>299210</v>
      </c>
      <c r="K134" s="11" t="n">
        <f aca="false">MIN(IF(A134&gt;0,Calculator!$B$13,0)+E134+Calculator!$B$14,'Tax Tables'!$B$36)</f>
        <v>1000</v>
      </c>
      <c r="L134" s="11" t="n">
        <f aca="false">MAX(A134-K134,0)</f>
        <v>59500</v>
      </c>
      <c r="M134" s="11" t="n">
        <f aca="false">SUMPRODUCT((L134&gt;'Tax Tables'!$A$5:$A$17)*(L134-'Tax Tables'!$A$5:$A$17)*'Tax Tables'!$C$5:$C$17)</f>
        <v>1915</v>
      </c>
      <c r="N134" s="11" t="n">
        <f aca="false">IF(H134&lt;0,-1E+099,A134-E134-M134+J134+(E134+F134)*Calculator!$B$9)</f>
        <v>357795</v>
      </c>
      <c r="O134" s="2"/>
      <c r="P134" s="11" t="n">
        <f aca="false">121*$B$3</f>
        <v>60500</v>
      </c>
      <c r="Q134" s="11" t="n">
        <f aca="false">MIN(P134,'Tax Tables'!$B$31*'Tax Tables'!$B$32)</f>
        <v>60500</v>
      </c>
      <c r="R134" s="11" t="n">
        <f aca="false">P134-Q134</f>
        <v>0</v>
      </c>
      <c r="S134" s="11" t="n">
        <f aca="false">IF(Calculator!$B$6="Yes",MIN(Q134,'Tax Tables'!$B$31*'Tax Tables'!$B$32),0)</f>
        <v>60500</v>
      </c>
      <c r="T134" s="11" t="n">
        <f aca="false">S134*Calculator!$B$7</f>
        <v>12100</v>
      </c>
      <c r="U134" s="11" t="n">
        <f aca="false">S134*Calculator!$B$8</f>
        <v>10285</v>
      </c>
      <c r="V134" s="11" t="n">
        <f aca="false">IF(Q134&gt;0,'Tax Tables'!$B$32*MIN(MAX(Q134/'Tax Tables'!$B$32*'Tax Tables'!$B$33,'Tax Tables'!$B$34),'Tax Tables'!$B$35),0)</f>
        <v>135</v>
      </c>
      <c r="W134" s="11" t="n">
        <f aca="false">Calculator!$B$5-P134-U134-V134</f>
        <v>329080</v>
      </c>
      <c r="X134" s="11" t="n">
        <f aca="false">'Tax Tables'!$B$22*(MAX(W134,0)-IF(Calculator!$B$10="Yes",MIN(MAX(W134,0),'Tax Tables'!$B$27)*'Tax Tables'!$B$28+MIN(MAX(MAX(W134,0)-'Tax Tables'!$B$27,0),'Tax Tables'!$B$29)*'Tax Tables'!$B$30,MIN(MAX(W134,0),'Tax Tables'!$B$23)*'Tax Tables'!$B$24+MIN(MAX(MAX(W134,0)-'Tax Tables'!$B$23,0),'Tax Tables'!$B$25)*'Tax Tables'!$B$26))*1-MIN('Tax Tables'!$B$22*(MAX(W134,0)-IF(Calculator!$B$10="Yes",MIN(MAX(W134,0),'Tax Tables'!$B$27)*'Tax Tables'!$B$28+MIN(MAX(MAX(W134,0)-'Tax Tables'!$B$27,0),'Tax Tables'!$B$29)*'Tax Tables'!$B$30,MIN(MAX(W134,0),'Tax Tables'!$B$23)*'Tax Tables'!$B$24+MIN(MAX(MAX(W134,0)-'Tax Tables'!$B$23,0),'Tax Tables'!$B$25)*'Tax Tables'!$B$26))*Calculator!$B$11,Calculator!$B$12)</f>
        <v>38518.6</v>
      </c>
      <c r="Y134" s="11" t="n">
        <f aca="false">MAX(W134,0)-X134</f>
        <v>290561.4</v>
      </c>
      <c r="Z134" s="11" t="n">
        <f aca="false">MIN(IF(P134&gt;0,Calculator!$B$13,0)+T134+Calculator!$B$14,'Tax Tables'!$B$36)</f>
        <v>13100</v>
      </c>
      <c r="AA134" s="11" t="n">
        <f aca="false">MAX(P134-Z134,0)</f>
        <v>47400</v>
      </c>
      <c r="AB134" s="11" t="n">
        <f aca="false">SUMPRODUCT((AA134&gt;'Tax Tables'!$A$5:$A$17)*(AA134-'Tax Tables'!$A$5:$A$17)*'Tax Tables'!$C$5:$C$17)</f>
        <v>1068</v>
      </c>
      <c r="AC134" s="11" t="n">
        <f aca="false">IF(W134&lt;0,-1E+099,P134-T134-AB134+Y134+(T134+U134)*Calculator!$B$9)</f>
        <v>360278.4</v>
      </c>
    </row>
    <row r="135" customFormat="false" ht="15" hidden="false" customHeight="false" outlineLevel="0" collapsed="false">
      <c r="A135" s="11" t="n">
        <f aca="false">122*$B$3</f>
        <v>61000</v>
      </c>
      <c r="B135" s="11" t="n">
        <f aca="false">0</f>
        <v>0</v>
      </c>
      <c r="C135" s="11" t="n">
        <f aca="false">A135-B135</f>
        <v>61000</v>
      </c>
      <c r="D135" s="11" t="n">
        <f aca="false">IF(Calculator!$B$6="Yes",MIN(B135,'Tax Tables'!$B$31*'Tax Tables'!$B$32),0)</f>
        <v>0</v>
      </c>
      <c r="E135" s="11" t="n">
        <f aca="false">D135*Calculator!$B$7</f>
        <v>0</v>
      </c>
      <c r="F135" s="11" t="n">
        <f aca="false">D135*Calculator!$B$8</f>
        <v>0</v>
      </c>
      <c r="G135" s="11" t="n">
        <f aca="false">IF(B135&gt;0,'Tax Tables'!$B$32*MIN(MAX(B135/'Tax Tables'!$B$32*'Tax Tables'!$B$33,'Tax Tables'!$B$34),'Tax Tables'!$B$35),0)</f>
        <v>0</v>
      </c>
      <c r="H135" s="11" t="n">
        <f aca="false">Calculator!$B$5-A135-F135-G135</f>
        <v>339000</v>
      </c>
      <c r="I135" s="11" t="n">
        <f aca="false">'Tax Tables'!$B$22*(MAX(H135,0)-IF(Calculator!$B$10="Yes",MIN(MAX(H135,0),'Tax Tables'!$B$27)*'Tax Tables'!$B$28+MIN(MAX(MAX(H135,0)-'Tax Tables'!$B$27,0),'Tax Tables'!$B$29)*'Tax Tables'!$B$30,MIN(MAX(H135,0),'Tax Tables'!$B$23)*'Tax Tables'!$B$24+MIN(MAX(MAX(H135,0)-'Tax Tables'!$B$23,0),'Tax Tables'!$B$25)*'Tax Tables'!$B$26))*1-MIN('Tax Tables'!$B$22*(MAX(H135,0)-IF(Calculator!$B$10="Yes",MIN(MAX(H135,0),'Tax Tables'!$B$27)*'Tax Tables'!$B$28+MIN(MAX(MAX(H135,0)-'Tax Tables'!$B$27,0),'Tax Tables'!$B$29)*'Tax Tables'!$B$30,MIN(MAX(H135,0),'Tax Tables'!$B$23)*'Tax Tables'!$B$24+MIN(MAX(MAX(H135,0)-'Tax Tables'!$B$23,0),'Tax Tables'!$B$25)*'Tax Tables'!$B$26))*Calculator!$B$11,Calculator!$B$12)</f>
        <v>40205</v>
      </c>
      <c r="J135" s="11" t="n">
        <f aca="false">MAX(H135,0)-I135</f>
        <v>298795</v>
      </c>
      <c r="K135" s="11" t="n">
        <f aca="false">MIN(IF(A135&gt;0,Calculator!$B$13,0)+E135+Calculator!$B$14,'Tax Tables'!$B$36)</f>
        <v>1000</v>
      </c>
      <c r="L135" s="11" t="n">
        <f aca="false">MAX(A135-K135,0)</f>
        <v>60000</v>
      </c>
      <c r="M135" s="11" t="n">
        <f aca="false">SUMPRODUCT((L135&gt;'Tax Tables'!$A$5:$A$17)*(L135-'Tax Tables'!$A$5:$A$17)*'Tax Tables'!$C$5:$C$17)</f>
        <v>1950</v>
      </c>
      <c r="N135" s="11" t="n">
        <f aca="false">IF(H135&lt;0,-1E+099,A135-E135-M135+J135+(E135+F135)*Calculator!$B$9)</f>
        <v>357845</v>
      </c>
      <c r="O135" s="2"/>
      <c r="P135" s="11" t="n">
        <f aca="false">122*$B$3</f>
        <v>61000</v>
      </c>
      <c r="Q135" s="11" t="n">
        <f aca="false">MIN(P135,'Tax Tables'!$B$31*'Tax Tables'!$B$32)</f>
        <v>61000</v>
      </c>
      <c r="R135" s="11" t="n">
        <f aca="false">P135-Q135</f>
        <v>0</v>
      </c>
      <c r="S135" s="11" t="n">
        <f aca="false">IF(Calculator!$B$6="Yes",MIN(Q135,'Tax Tables'!$B$31*'Tax Tables'!$B$32),0)</f>
        <v>61000</v>
      </c>
      <c r="T135" s="11" t="n">
        <f aca="false">S135*Calculator!$B$7</f>
        <v>12200</v>
      </c>
      <c r="U135" s="11" t="n">
        <f aca="false">S135*Calculator!$B$8</f>
        <v>10370</v>
      </c>
      <c r="V135" s="11" t="n">
        <f aca="false">IF(Q135&gt;0,'Tax Tables'!$B$32*MIN(MAX(Q135/'Tax Tables'!$B$32*'Tax Tables'!$B$33,'Tax Tables'!$B$34),'Tax Tables'!$B$35),0)</f>
        <v>135</v>
      </c>
      <c r="W135" s="11" t="n">
        <f aca="false">Calculator!$B$5-P135-U135-V135</f>
        <v>328495</v>
      </c>
      <c r="X135" s="11" t="n">
        <f aca="false">'Tax Tables'!$B$22*(MAX(W135,0)-IF(Calculator!$B$10="Yes",MIN(MAX(W135,0),'Tax Tables'!$B$27)*'Tax Tables'!$B$28+MIN(MAX(MAX(W135,0)-'Tax Tables'!$B$27,0),'Tax Tables'!$B$29)*'Tax Tables'!$B$30,MIN(MAX(W135,0),'Tax Tables'!$B$23)*'Tax Tables'!$B$24+MIN(MAX(MAX(W135,0)-'Tax Tables'!$B$23,0),'Tax Tables'!$B$25)*'Tax Tables'!$B$26))*1-MIN('Tax Tables'!$B$22*(MAX(W135,0)-IF(Calculator!$B$10="Yes",MIN(MAX(W135,0),'Tax Tables'!$B$27)*'Tax Tables'!$B$28+MIN(MAX(MAX(W135,0)-'Tax Tables'!$B$27,0),'Tax Tables'!$B$29)*'Tax Tables'!$B$30,MIN(MAX(W135,0),'Tax Tables'!$B$23)*'Tax Tables'!$B$24+MIN(MAX(MAX(W135,0)-'Tax Tables'!$B$23,0),'Tax Tables'!$B$25)*'Tax Tables'!$B$26))*Calculator!$B$11,Calculator!$B$12)</f>
        <v>38419.15</v>
      </c>
      <c r="Y135" s="11" t="n">
        <f aca="false">MAX(W135,0)-X135</f>
        <v>290075.85</v>
      </c>
      <c r="Z135" s="11" t="n">
        <f aca="false">MIN(IF(P135&gt;0,Calculator!$B$13,0)+T135+Calculator!$B$14,'Tax Tables'!$B$36)</f>
        <v>13200</v>
      </c>
      <c r="AA135" s="11" t="n">
        <f aca="false">MAX(P135-Z135,0)</f>
        <v>47800</v>
      </c>
      <c r="AB135" s="11" t="n">
        <f aca="false">SUMPRODUCT((AA135&gt;'Tax Tables'!$A$5:$A$17)*(AA135-'Tax Tables'!$A$5:$A$17)*'Tax Tables'!$C$5:$C$17)</f>
        <v>1096</v>
      </c>
      <c r="AC135" s="11" t="n">
        <f aca="false">IF(W135&lt;0,-1E+099,P135-T135-AB135+Y135+(T135+U135)*Calculator!$B$9)</f>
        <v>360349.85</v>
      </c>
    </row>
    <row r="136" customFormat="false" ht="15" hidden="false" customHeight="false" outlineLevel="0" collapsed="false">
      <c r="A136" s="11" t="n">
        <f aca="false">123*$B$3</f>
        <v>61500</v>
      </c>
      <c r="B136" s="11" t="n">
        <f aca="false">0</f>
        <v>0</v>
      </c>
      <c r="C136" s="11" t="n">
        <f aca="false">A136-B136</f>
        <v>61500</v>
      </c>
      <c r="D136" s="11" t="n">
        <f aca="false">IF(Calculator!$B$6="Yes",MIN(B136,'Tax Tables'!$B$31*'Tax Tables'!$B$32),0)</f>
        <v>0</v>
      </c>
      <c r="E136" s="11" t="n">
        <f aca="false">D136*Calculator!$B$7</f>
        <v>0</v>
      </c>
      <c r="F136" s="11" t="n">
        <f aca="false">D136*Calculator!$B$8</f>
        <v>0</v>
      </c>
      <c r="G136" s="11" t="n">
        <f aca="false">IF(B136&gt;0,'Tax Tables'!$B$32*MIN(MAX(B136/'Tax Tables'!$B$32*'Tax Tables'!$B$33,'Tax Tables'!$B$34),'Tax Tables'!$B$35),0)</f>
        <v>0</v>
      </c>
      <c r="H136" s="11" t="n">
        <f aca="false">Calculator!$B$5-A136-F136-G136</f>
        <v>338500</v>
      </c>
      <c r="I136" s="11" t="n">
        <f aca="false">'Tax Tables'!$B$22*(MAX(H136,0)-IF(Calculator!$B$10="Yes",MIN(MAX(H136,0),'Tax Tables'!$B$27)*'Tax Tables'!$B$28+MIN(MAX(MAX(H136,0)-'Tax Tables'!$B$27,0),'Tax Tables'!$B$29)*'Tax Tables'!$B$30,MIN(MAX(H136,0),'Tax Tables'!$B$23)*'Tax Tables'!$B$24+MIN(MAX(MAX(H136,0)-'Tax Tables'!$B$23,0),'Tax Tables'!$B$25)*'Tax Tables'!$B$26))*1-MIN('Tax Tables'!$B$22*(MAX(H136,0)-IF(Calculator!$B$10="Yes",MIN(MAX(H136,0),'Tax Tables'!$B$27)*'Tax Tables'!$B$28+MIN(MAX(MAX(H136,0)-'Tax Tables'!$B$27,0),'Tax Tables'!$B$29)*'Tax Tables'!$B$30,MIN(MAX(H136,0),'Tax Tables'!$B$23)*'Tax Tables'!$B$24+MIN(MAX(MAX(H136,0)-'Tax Tables'!$B$23,0),'Tax Tables'!$B$25)*'Tax Tables'!$B$26))*Calculator!$B$11,Calculator!$B$12)</f>
        <v>40120</v>
      </c>
      <c r="J136" s="11" t="n">
        <f aca="false">MAX(H136,0)-I136</f>
        <v>298380</v>
      </c>
      <c r="K136" s="11" t="n">
        <f aca="false">MIN(IF(A136&gt;0,Calculator!$B$13,0)+E136+Calculator!$B$14,'Tax Tables'!$B$36)</f>
        <v>1000</v>
      </c>
      <c r="L136" s="11" t="n">
        <f aca="false">MAX(A136-K136,0)</f>
        <v>60500</v>
      </c>
      <c r="M136" s="11" t="n">
        <f aca="false">SUMPRODUCT((L136&gt;'Tax Tables'!$A$5:$A$17)*(L136-'Tax Tables'!$A$5:$A$17)*'Tax Tables'!$C$5:$C$17)</f>
        <v>1985</v>
      </c>
      <c r="N136" s="11" t="n">
        <f aca="false">IF(H136&lt;0,-1E+099,A136-E136-M136+J136+(E136+F136)*Calculator!$B$9)</f>
        <v>357895</v>
      </c>
      <c r="O136" s="2"/>
      <c r="P136" s="11" t="n">
        <f aca="false">123*$B$3</f>
        <v>61500</v>
      </c>
      <c r="Q136" s="11" t="n">
        <f aca="false">MIN(P136,'Tax Tables'!$B$31*'Tax Tables'!$B$32)</f>
        <v>61500</v>
      </c>
      <c r="R136" s="11" t="n">
        <f aca="false">P136-Q136</f>
        <v>0</v>
      </c>
      <c r="S136" s="11" t="n">
        <f aca="false">IF(Calculator!$B$6="Yes",MIN(Q136,'Tax Tables'!$B$31*'Tax Tables'!$B$32),0)</f>
        <v>61500</v>
      </c>
      <c r="T136" s="11" t="n">
        <f aca="false">S136*Calculator!$B$7</f>
        <v>12300</v>
      </c>
      <c r="U136" s="11" t="n">
        <f aca="false">S136*Calculator!$B$8</f>
        <v>10455</v>
      </c>
      <c r="V136" s="11" t="n">
        <f aca="false">IF(Q136&gt;0,'Tax Tables'!$B$32*MIN(MAX(Q136/'Tax Tables'!$B$32*'Tax Tables'!$B$33,'Tax Tables'!$B$34),'Tax Tables'!$B$35),0)</f>
        <v>135</v>
      </c>
      <c r="W136" s="11" t="n">
        <f aca="false">Calculator!$B$5-P136-U136-V136</f>
        <v>327910</v>
      </c>
      <c r="X136" s="11" t="n">
        <f aca="false">'Tax Tables'!$B$22*(MAX(W136,0)-IF(Calculator!$B$10="Yes",MIN(MAX(W136,0),'Tax Tables'!$B$27)*'Tax Tables'!$B$28+MIN(MAX(MAX(W136,0)-'Tax Tables'!$B$27,0),'Tax Tables'!$B$29)*'Tax Tables'!$B$30,MIN(MAX(W136,0),'Tax Tables'!$B$23)*'Tax Tables'!$B$24+MIN(MAX(MAX(W136,0)-'Tax Tables'!$B$23,0),'Tax Tables'!$B$25)*'Tax Tables'!$B$26))*1-MIN('Tax Tables'!$B$22*(MAX(W136,0)-IF(Calculator!$B$10="Yes",MIN(MAX(W136,0),'Tax Tables'!$B$27)*'Tax Tables'!$B$28+MIN(MAX(MAX(W136,0)-'Tax Tables'!$B$27,0),'Tax Tables'!$B$29)*'Tax Tables'!$B$30,MIN(MAX(W136,0),'Tax Tables'!$B$23)*'Tax Tables'!$B$24+MIN(MAX(MAX(W136,0)-'Tax Tables'!$B$23,0),'Tax Tables'!$B$25)*'Tax Tables'!$B$26))*Calculator!$B$11,Calculator!$B$12)</f>
        <v>38319.7</v>
      </c>
      <c r="Y136" s="11" t="n">
        <f aca="false">MAX(W136,0)-X136</f>
        <v>289590.3</v>
      </c>
      <c r="Z136" s="11" t="n">
        <f aca="false">MIN(IF(P136&gt;0,Calculator!$B$13,0)+T136+Calculator!$B$14,'Tax Tables'!$B$36)</f>
        <v>13300</v>
      </c>
      <c r="AA136" s="11" t="n">
        <f aca="false">MAX(P136-Z136,0)</f>
        <v>48200</v>
      </c>
      <c r="AB136" s="11" t="n">
        <f aca="false">SUMPRODUCT((AA136&gt;'Tax Tables'!$A$5:$A$17)*(AA136-'Tax Tables'!$A$5:$A$17)*'Tax Tables'!$C$5:$C$17)</f>
        <v>1124</v>
      </c>
      <c r="AC136" s="11" t="n">
        <f aca="false">IF(W136&lt;0,-1E+099,P136-T136-AB136+Y136+(T136+U136)*Calculator!$B$9)</f>
        <v>360421.3</v>
      </c>
    </row>
    <row r="137" customFormat="false" ht="15" hidden="false" customHeight="false" outlineLevel="0" collapsed="false">
      <c r="A137" s="11" t="n">
        <f aca="false">124*$B$3</f>
        <v>62000</v>
      </c>
      <c r="B137" s="11" t="n">
        <f aca="false">0</f>
        <v>0</v>
      </c>
      <c r="C137" s="11" t="n">
        <f aca="false">A137-B137</f>
        <v>62000</v>
      </c>
      <c r="D137" s="11" t="n">
        <f aca="false">IF(Calculator!$B$6="Yes",MIN(B137,'Tax Tables'!$B$31*'Tax Tables'!$B$32),0)</f>
        <v>0</v>
      </c>
      <c r="E137" s="11" t="n">
        <f aca="false">D137*Calculator!$B$7</f>
        <v>0</v>
      </c>
      <c r="F137" s="11" t="n">
        <f aca="false">D137*Calculator!$B$8</f>
        <v>0</v>
      </c>
      <c r="G137" s="11" t="n">
        <f aca="false">IF(B137&gt;0,'Tax Tables'!$B$32*MIN(MAX(B137/'Tax Tables'!$B$32*'Tax Tables'!$B$33,'Tax Tables'!$B$34),'Tax Tables'!$B$35),0)</f>
        <v>0</v>
      </c>
      <c r="H137" s="11" t="n">
        <f aca="false">Calculator!$B$5-A137-F137-G137</f>
        <v>338000</v>
      </c>
      <c r="I137" s="11" t="n">
        <f aca="false">'Tax Tables'!$B$22*(MAX(H137,0)-IF(Calculator!$B$10="Yes",MIN(MAX(H137,0),'Tax Tables'!$B$27)*'Tax Tables'!$B$28+MIN(MAX(MAX(H137,0)-'Tax Tables'!$B$27,0),'Tax Tables'!$B$29)*'Tax Tables'!$B$30,MIN(MAX(H137,0),'Tax Tables'!$B$23)*'Tax Tables'!$B$24+MIN(MAX(MAX(H137,0)-'Tax Tables'!$B$23,0),'Tax Tables'!$B$25)*'Tax Tables'!$B$26))*1-MIN('Tax Tables'!$B$22*(MAX(H137,0)-IF(Calculator!$B$10="Yes",MIN(MAX(H137,0),'Tax Tables'!$B$27)*'Tax Tables'!$B$28+MIN(MAX(MAX(H137,0)-'Tax Tables'!$B$27,0),'Tax Tables'!$B$29)*'Tax Tables'!$B$30,MIN(MAX(H137,0),'Tax Tables'!$B$23)*'Tax Tables'!$B$24+MIN(MAX(MAX(H137,0)-'Tax Tables'!$B$23,0),'Tax Tables'!$B$25)*'Tax Tables'!$B$26))*Calculator!$B$11,Calculator!$B$12)</f>
        <v>40035</v>
      </c>
      <c r="J137" s="11" t="n">
        <f aca="false">MAX(H137,0)-I137</f>
        <v>297965</v>
      </c>
      <c r="K137" s="11" t="n">
        <f aca="false">MIN(IF(A137&gt;0,Calculator!$B$13,0)+E137+Calculator!$B$14,'Tax Tables'!$B$36)</f>
        <v>1000</v>
      </c>
      <c r="L137" s="11" t="n">
        <f aca="false">MAX(A137-K137,0)</f>
        <v>61000</v>
      </c>
      <c r="M137" s="11" t="n">
        <f aca="false">SUMPRODUCT((L137&gt;'Tax Tables'!$A$5:$A$17)*(L137-'Tax Tables'!$A$5:$A$17)*'Tax Tables'!$C$5:$C$17)</f>
        <v>2020</v>
      </c>
      <c r="N137" s="11" t="n">
        <f aca="false">IF(H137&lt;0,-1E+099,A137-E137-M137+J137+(E137+F137)*Calculator!$B$9)</f>
        <v>357945</v>
      </c>
      <c r="O137" s="2"/>
      <c r="P137" s="11" t="n">
        <f aca="false">124*$B$3</f>
        <v>62000</v>
      </c>
      <c r="Q137" s="11" t="n">
        <f aca="false">MIN(P137,'Tax Tables'!$B$31*'Tax Tables'!$B$32)</f>
        <v>62000</v>
      </c>
      <c r="R137" s="11" t="n">
        <f aca="false">P137-Q137</f>
        <v>0</v>
      </c>
      <c r="S137" s="11" t="n">
        <f aca="false">IF(Calculator!$B$6="Yes",MIN(Q137,'Tax Tables'!$B$31*'Tax Tables'!$B$32),0)</f>
        <v>62000</v>
      </c>
      <c r="T137" s="11" t="n">
        <f aca="false">S137*Calculator!$B$7</f>
        <v>12400</v>
      </c>
      <c r="U137" s="11" t="n">
        <f aca="false">S137*Calculator!$B$8</f>
        <v>10540</v>
      </c>
      <c r="V137" s="11" t="n">
        <f aca="false">IF(Q137&gt;0,'Tax Tables'!$B$32*MIN(MAX(Q137/'Tax Tables'!$B$32*'Tax Tables'!$B$33,'Tax Tables'!$B$34),'Tax Tables'!$B$35),0)</f>
        <v>135</v>
      </c>
      <c r="W137" s="11" t="n">
        <f aca="false">Calculator!$B$5-P137-U137-V137</f>
        <v>327325</v>
      </c>
      <c r="X137" s="11" t="n">
        <f aca="false">'Tax Tables'!$B$22*(MAX(W137,0)-IF(Calculator!$B$10="Yes",MIN(MAX(W137,0),'Tax Tables'!$B$27)*'Tax Tables'!$B$28+MIN(MAX(MAX(W137,0)-'Tax Tables'!$B$27,0),'Tax Tables'!$B$29)*'Tax Tables'!$B$30,MIN(MAX(W137,0),'Tax Tables'!$B$23)*'Tax Tables'!$B$24+MIN(MAX(MAX(W137,0)-'Tax Tables'!$B$23,0),'Tax Tables'!$B$25)*'Tax Tables'!$B$26))*1-MIN('Tax Tables'!$B$22*(MAX(W137,0)-IF(Calculator!$B$10="Yes",MIN(MAX(W137,0),'Tax Tables'!$B$27)*'Tax Tables'!$B$28+MIN(MAX(MAX(W137,0)-'Tax Tables'!$B$27,0),'Tax Tables'!$B$29)*'Tax Tables'!$B$30,MIN(MAX(W137,0),'Tax Tables'!$B$23)*'Tax Tables'!$B$24+MIN(MAX(MAX(W137,0)-'Tax Tables'!$B$23,0),'Tax Tables'!$B$25)*'Tax Tables'!$B$26))*Calculator!$B$11,Calculator!$B$12)</f>
        <v>38220.25</v>
      </c>
      <c r="Y137" s="11" t="n">
        <f aca="false">MAX(W137,0)-X137</f>
        <v>289104.75</v>
      </c>
      <c r="Z137" s="11" t="n">
        <f aca="false">MIN(IF(P137&gt;0,Calculator!$B$13,0)+T137+Calculator!$B$14,'Tax Tables'!$B$36)</f>
        <v>13400</v>
      </c>
      <c r="AA137" s="11" t="n">
        <f aca="false">MAX(P137-Z137,0)</f>
        <v>48600</v>
      </c>
      <c r="AB137" s="11" t="n">
        <f aca="false">SUMPRODUCT((AA137&gt;'Tax Tables'!$A$5:$A$17)*(AA137-'Tax Tables'!$A$5:$A$17)*'Tax Tables'!$C$5:$C$17)</f>
        <v>1152</v>
      </c>
      <c r="AC137" s="11" t="n">
        <f aca="false">IF(W137&lt;0,-1E+099,P137-T137-AB137+Y137+(T137+U137)*Calculator!$B$9)</f>
        <v>360492.75</v>
      </c>
    </row>
    <row r="138" customFormat="false" ht="15" hidden="false" customHeight="false" outlineLevel="0" collapsed="false">
      <c r="A138" s="11" t="n">
        <f aca="false">125*$B$3</f>
        <v>62500</v>
      </c>
      <c r="B138" s="11" t="n">
        <f aca="false">0</f>
        <v>0</v>
      </c>
      <c r="C138" s="11" t="n">
        <f aca="false">A138-B138</f>
        <v>62500</v>
      </c>
      <c r="D138" s="11" t="n">
        <f aca="false">IF(Calculator!$B$6="Yes",MIN(B138,'Tax Tables'!$B$31*'Tax Tables'!$B$32),0)</f>
        <v>0</v>
      </c>
      <c r="E138" s="11" t="n">
        <f aca="false">D138*Calculator!$B$7</f>
        <v>0</v>
      </c>
      <c r="F138" s="11" t="n">
        <f aca="false">D138*Calculator!$B$8</f>
        <v>0</v>
      </c>
      <c r="G138" s="11" t="n">
        <f aca="false">IF(B138&gt;0,'Tax Tables'!$B$32*MIN(MAX(B138/'Tax Tables'!$B$32*'Tax Tables'!$B$33,'Tax Tables'!$B$34),'Tax Tables'!$B$35),0)</f>
        <v>0</v>
      </c>
      <c r="H138" s="11" t="n">
        <f aca="false">Calculator!$B$5-A138-F138-G138</f>
        <v>337500</v>
      </c>
      <c r="I138" s="11" t="n">
        <f aca="false">'Tax Tables'!$B$22*(MAX(H138,0)-IF(Calculator!$B$10="Yes",MIN(MAX(H138,0),'Tax Tables'!$B$27)*'Tax Tables'!$B$28+MIN(MAX(MAX(H138,0)-'Tax Tables'!$B$27,0),'Tax Tables'!$B$29)*'Tax Tables'!$B$30,MIN(MAX(H138,0),'Tax Tables'!$B$23)*'Tax Tables'!$B$24+MIN(MAX(MAX(H138,0)-'Tax Tables'!$B$23,0),'Tax Tables'!$B$25)*'Tax Tables'!$B$26))*1-MIN('Tax Tables'!$B$22*(MAX(H138,0)-IF(Calculator!$B$10="Yes",MIN(MAX(H138,0),'Tax Tables'!$B$27)*'Tax Tables'!$B$28+MIN(MAX(MAX(H138,0)-'Tax Tables'!$B$27,0),'Tax Tables'!$B$29)*'Tax Tables'!$B$30,MIN(MAX(H138,0),'Tax Tables'!$B$23)*'Tax Tables'!$B$24+MIN(MAX(MAX(H138,0)-'Tax Tables'!$B$23,0),'Tax Tables'!$B$25)*'Tax Tables'!$B$26))*Calculator!$B$11,Calculator!$B$12)</f>
        <v>39950</v>
      </c>
      <c r="J138" s="11" t="n">
        <f aca="false">MAX(H138,0)-I138</f>
        <v>297550</v>
      </c>
      <c r="K138" s="11" t="n">
        <f aca="false">MIN(IF(A138&gt;0,Calculator!$B$13,0)+E138+Calculator!$B$14,'Tax Tables'!$B$36)</f>
        <v>1000</v>
      </c>
      <c r="L138" s="11" t="n">
        <f aca="false">MAX(A138-K138,0)</f>
        <v>61500</v>
      </c>
      <c r="M138" s="11" t="n">
        <f aca="false">SUMPRODUCT((L138&gt;'Tax Tables'!$A$5:$A$17)*(L138-'Tax Tables'!$A$5:$A$17)*'Tax Tables'!$C$5:$C$17)</f>
        <v>2055</v>
      </c>
      <c r="N138" s="11" t="n">
        <f aca="false">IF(H138&lt;0,-1E+099,A138-E138-M138+J138+(E138+F138)*Calculator!$B$9)</f>
        <v>357995</v>
      </c>
      <c r="O138" s="2"/>
      <c r="P138" s="11" t="n">
        <f aca="false">125*$B$3</f>
        <v>62500</v>
      </c>
      <c r="Q138" s="11" t="n">
        <f aca="false">MIN(P138,'Tax Tables'!$B$31*'Tax Tables'!$B$32)</f>
        <v>62500</v>
      </c>
      <c r="R138" s="11" t="n">
        <f aca="false">P138-Q138</f>
        <v>0</v>
      </c>
      <c r="S138" s="11" t="n">
        <f aca="false">IF(Calculator!$B$6="Yes",MIN(Q138,'Tax Tables'!$B$31*'Tax Tables'!$B$32),0)</f>
        <v>62500</v>
      </c>
      <c r="T138" s="11" t="n">
        <f aca="false">S138*Calculator!$B$7</f>
        <v>12500</v>
      </c>
      <c r="U138" s="11" t="n">
        <f aca="false">S138*Calculator!$B$8</f>
        <v>10625</v>
      </c>
      <c r="V138" s="11" t="n">
        <f aca="false">IF(Q138&gt;0,'Tax Tables'!$B$32*MIN(MAX(Q138/'Tax Tables'!$B$32*'Tax Tables'!$B$33,'Tax Tables'!$B$34),'Tax Tables'!$B$35),0)</f>
        <v>135</v>
      </c>
      <c r="W138" s="11" t="n">
        <f aca="false">Calculator!$B$5-P138-U138-V138</f>
        <v>326740</v>
      </c>
      <c r="X138" s="11" t="n">
        <f aca="false">'Tax Tables'!$B$22*(MAX(W138,0)-IF(Calculator!$B$10="Yes",MIN(MAX(W138,0),'Tax Tables'!$B$27)*'Tax Tables'!$B$28+MIN(MAX(MAX(W138,0)-'Tax Tables'!$B$27,0),'Tax Tables'!$B$29)*'Tax Tables'!$B$30,MIN(MAX(W138,0),'Tax Tables'!$B$23)*'Tax Tables'!$B$24+MIN(MAX(MAX(W138,0)-'Tax Tables'!$B$23,0),'Tax Tables'!$B$25)*'Tax Tables'!$B$26))*1-MIN('Tax Tables'!$B$22*(MAX(W138,0)-IF(Calculator!$B$10="Yes",MIN(MAX(W138,0),'Tax Tables'!$B$27)*'Tax Tables'!$B$28+MIN(MAX(MAX(W138,0)-'Tax Tables'!$B$27,0),'Tax Tables'!$B$29)*'Tax Tables'!$B$30,MIN(MAX(W138,0),'Tax Tables'!$B$23)*'Tax Tables'!$B$24+MIN(MAX(MAX(W138,0)-'Tax Tables'!$B$23,0),'Tax Tables'!$B$25)*'Tax Tables'!$B$26))*Calculator!$B$11,Calculator!$B$12)</f>
        <v>38120.8</v>
      </c>
      <c r="Y138" s="11" t="n">
        <f aca="false">MAX(W138,0)-X138</f>
        <v>288619.2</v>
      </c>
      <c r="Z138" s="11" t="n">
        <f aca="false">MIN(IF(P138&gt;0,Calculator!$B$13,0)+T138+Calculator!$B$14,'Tax Tables'!$B$36)</f>
        <v>13500</v>
      </c>
      <c r="AA138" s="11" t="n">
        <f aca="false">MAX(P138-Z138,0)</f>
        <v>49000</v>
      </c>
      <c r="AB138" s="11" t="n">
        <f aca="false">SUMPRODUCT((AA138&gt;'Tax Tables'!$A$5:$A$17)*(AA138-'Tax Tables'!$A$5:$A$17)*'Tax Tables'!$C$5:$C$17)</f>
        <v>1180</v>
      </c>
      <c r="AC138" s="11" t="n">
        <f aca="false">IF(W138&lt;0,-1E+099,P138-T138-AB138+Y138+(T138+U138)*Calculator!$B$9)</f>
        <v>360564.2</v>
      </c>
    </row>
    <row r="139" customFormat="false" ht="15" hidden="false" customHeight="false" outlineLevel="0" collapsed="false">
      <c r="A139" s="11" t="n">
        <f aca="false">126*$B$3</f>
        <v>63000</v>
      </c>
      <c r="B139" s="11" t="n">
        <f aca="false">0</f>
        <v>0</v>
      </c>
      <c r="C139" s="11" t="n">
        <f aca="false">A139-B139</f>
        <v>63000</v>
      </c>
      <c r="D139" s="11" t="n">
        <f aca="false">IF(Calculator!$B$6="Yes",MIN(B139,'Tax Tables'!$B$31*'Tax Tables'!$B$32),0)</f>
        <v>0</v>
      </c>
      <c r="E139" s="11" t="n">
        <f aca="false">D139*Calculator!$B$7</f>
        <v>0</v>
      </c>
      <c r="F139" s="11" t="n">
        <f aca="false">D139*Calculator!$B$8</f>
        <v>0</v>
      </c>
      <c r="G139" s="11" t="n">
        <f aca="false">IF(B139&gt;0,'Tax Tables'!$B$32*MIN(MAX(B139/'Tax Tables'!$B$32*'Tax Tables'!$B$33,'Tax Tables'!$B$34),'Tax Tables'!$B$35),0)</f>
        <v>0</v>
      </c>
      <c r="H139" s="11" t="n">
        <f aca="false">Calculator!$B$5-A139-F139-G139</f>
        <v>337000</v>
      </c>
      <c r="I139" s="11" t="n">
        <f aca="false">'Tax Tables'!$B$22*(MAX(H139,0)-IF(Calculator!$B$10="Yes",MIN(MAX(H139,0),'Tax Tables'!$B$27)*'Tax Tables'!$B$28+MIN(MAX(MAX(H139,0)-'Tax Tables'!$B$27,0),'Tax Tables'!$B$29)*'Tax Tables'!$B$30,MIN(MAX(H139,0),'Tax Tables'!$B$23)*'Tax Tables'!$B$24+MIN(MAX(MAX(H139,0)-'Tax Tables'!$B$23,0),'Tax Tables'!$B$25)*'Tax Tables'!$B$26))*1-MIN('Tax Tables'!$B$22*(MAX(H139,0)-IF(Calculator!$B$10="Yes",MIN(MAX(H139,0),'Tax Tables'!$B$27)*'Tax Tables'!$B$28+MIN(MAX(MAX(H139,0)-'Tax Tables'!$B$27,0),'Tax Tables'!$B$29)*'Tax Tables'!$B$30,MIN(MAX(H139,0),'Tax Tables'!$B$23)*'Tax Tables'!$B$24+MIN(MAX(MAX(H139,0)-'Tax Tables'!$B$23,0),'Tax Tables'!$B$25)*'Tax Tables'!$B$26))*Calculator!$B$11,Calculator!$B$12)</f>
        <v>39865</v>
      </c>
      <c r="J139" s="11" t="n">
        <f aca="false">MAX(H139,0)-I139</f>
        <v>297135</v>
      </c>
      <c r="K139" s="11" t="n">
        <f aca="false">MIN(IF(A139&gt;0,Calculator!$B$13,0)+E139+Calculator!$B$14,'Tax Tables'!$B$36)</f>
        <v>1000</v>
      </c>
      <c r="L139" s="11" t="n">
        <f aca="false">MAX(A139-K139,0)</f>
        <v>62000</v>
      </c>
      <c r="M139" s="11" t="n">
        <f aca="false">SUMPRODUCT((L139&gt;'Tax Tables'!$A$5:$A$17)*(L139-'Tax Tables'!$A$5:$A$17)*'Tax Tables'!$C$5:$C$17)</f>
        <v>2090</v>
      </c>
      <c r="N139" s="11" t="n">
        <f aca="false">IF(H139&lt;0,-1E+099,A139-E139-M139+J139+(E139+F139)*Calculator!$B$9)</f>
        <v>358045</v>
      </c>
      <c r="O139" s="2"/>
      <c r="P139" s="11" t="n">
        <f aca="false">126*$B$3</f>
        <v>63000</v>
      </c>
      <c r="Q139" s="11" t="n">
        <f aca="false">MIN(P139,'Tax Tables'!$B$31*'Tax Tables'!$B$32)</f>
        <v>63000</v>
      </c>
      <c r="R139" s="11" t="n">
        <f aca="false">P139-Q139</f>
        <v>0</v>
      </c>
      <c r="S139" s="11" t="n">
        <f aca="false">IF(Calculator!$B$6="Yes",MIN(Q139,'Tax Tables'!$B$31*'Tax Tables'!$B$32),0)</f>
        <v>63000</v>
      </c>
      <c r="T139" s="11" t="n">
        <f aca="false">S139*Calculator!$B$7</f>
        <v>12600</v>
      </c>
      <c r="U139" s="11" t="n">
        <f aca="false">S139*Calculator!$B$8</f>
        <v>10710</v>
      </c>
      <c r="V139" s="11" t="n">
        <f aca="false">IF(Q139&gt;0,'Tax Tables'!$B$32*MIN(MAX(Q139/'Tax Tables'!$B$32*'Tax Tables'!$B$33,'Tax Tables'!$B$34),'Tax Tables'!$B$35),0)</f>
        <v>135</v>
      </c>
      <c r="W139" s="11" t="n">
        <f aca="false">Calculator!$B$5-P139-U139-V139</f>
        <v>326155</v>
      </c>
      <c r="X139" s="11" t="n">
        <f aca="false">'Tax Tables'!$B$22*(MAX(W139,0)-IF(Calculator!$B$10="Yes",MIN(MAX(W139,0),'Tax Tables'!$B$27)*'Tax Tables'!$B$28+MIN(MAX(MAX(W139,0)-'Tax Tables'!$B$27,0),'Tax Tables'!$B$29)*'Tax Tables'!$B$30,MIN(MAX(W139,0),'Tax Tables'!$B$23)*'Tax Tables'!$B$24+MIN(MAX(MAX(W139,0)-'Tax Tables'!$B$23,0),'Tax Tables'!$B$25)*'Tax Tables'!$B$26))*1-MIN('Tax Tables'!$B$22*(MAX(W139,0)-IF(Calculator!$B$10="Yes",MIN(MAX(W139,0),'Tax Tables'!$B$27)*'Tax Tables'!$B$28+MIN(MAX(MAX(W139,0)-'Tax Tables'!$B$27,0),'Tax Tables'!$B$29)*'Tax Tables'!$B$30,MIN(MAX(W139,0),'Tax Tables'!$B$23)*'Tax Tables'!$B$24+MIN(MAX(MAX(W139,0)-'Tax Tables'!$B$23,0),'Tax Tables'!$B$25)*'Tax Tables'!$B$26))*Calculator!$B$11,Calculator!$B$12)</f>
        <v>38021.35</v>
      </c>
      <c r="Y139" s="11" t="n">
        <f aca="false">MAX(W139,0)-X139</f>
        <v>288133.65</v>
      </c>
      <c r="Z139" s="11" t="n">
        <f aca="false">MIN(IF(P139&gt;0,Calculator!$B$13,0)+T139+Calculator!$B$14,'Tax Tables'!$B$36)</f>
        <v>13600</v>
      </c>
      <c r="AA139" s="11" t="n">
        <f aca="false">MAX(P139-Z139,0)</f>
        <v>49400</v>
      </c>
      <c r="AB139" s="11" t="n">
        <f aca="false">SUMPRODUCT((AA139&gt;'Tax Tables'!$A$5:$A$17)*(AA139-'Tax Tables'!$A$5:$A$17)*'Tax Tables'!$C$5:$C$17)</f>
        <v>1208</v>
      </c>
      <c r="AC139" s="11" t="n">
        <f aca="false">IF(W139&lt;0,-1E+099,P139-T139-AB139+Y139+(T139+U139)*Calculator!$B$9)</f>
        <v>360635.65</v>
      </c>
    </row>
    <row r="140" customFormat="false" ht="15" hidden="false" customHeight="false" outlineLevel="0" collapsed="false">
      <c r="A140" s="11" t="n">
        <f aca="false">127*$B$3</f>
        <v>63500</v>
      </c>
      <c r="B140" s="11" t="n">
        <f aca="false">0</f>
        <v>0</v>
      </c>
      <c r="C140" s="11" t="n">
        <f aca="false">A140-B140</f>
        <v>63500</v>
      </c>
      <c r="D140" s="11" t="n">
        <f aca="false">IF(Calculator!$B$6="Yes",MIN(B140,'Tax Tables'!$B$31*'Tax Tables'!$B$32),0)</f>
        <v>0</v>
      </c>
      <c r="E140" s="11" t="n">
        <f aca="false">D140*Calculator!$B$7</f>
        <v>0</v>
      </c>
      <c r="F140" s="11" t="n">
        <f aca="false">D140*Calculator!$B$8</f>
        <v>0</v>
      </c>
      <c r="G140" s="11" t="n">
        <f aca="false">IF(B140&gt;0,'Tax Tables'!$B$32*MIN(MAX(B140/'Tax Tables'!$B$32*'Tax Tables'!$B$33,'Tax Tables'!$B$34),'Tax Tables'!$B$35),0)</f>
        <v>0</v>
      </c>
      <c r="H140" s="11" t="n">
        <f aca="false">Calculator!$B$5-A140-F140-G140</f>
        <v>336500</v>
      </c>
      <c r="I140" s="11" t="n">
        <f aca="false">'Tax Tables'!$B$22*(MAX(H140,0)-IF(Calculator!$B$10="Yes",MIN(MAX(H140,0),'Tax Tables'!$B$27)*'Tax Tables'!$B$28+MIN(MAX(MAX(H140,0)-'Tax Tables'!$B$27,0),'Tax Tables'!$B$29)*'Tax Tables'!$B$30,MIN(MAX(H140,0),'Tax Tables'!$B$23)*'Tax Tables'!$B$24+MIN(MAX(MAX(H140,0)-'Tax Tables'!$B$23,0),'Tax Tables'!$B$25)*'Tax Tables'!$B$26))*1-MIN('Tax Tables'!$B$22*(MAX(H140,0)-IF(Calculator!$B$10="Yes",MIN(MAX(H140,0),'Tax Tables'!$B$27)*'Tax Tables'!$B$28+MIN(MAX(MAX(H140,0)-'Tax Tables'!$B$27,0),'Tax Tables'!$B$29)*'Tax Tables'!$B$30,MIN(MAX(H140,0),'Tax Tables'!$B$23)*'Tax Tables'!$B$24+MIN(MAX(MAX(H140,0)-'Tax Tables'!$B$23,0),'Tax Tables'!$B$25)*'Tax Tables'!$B$26))*Calculator!$B$11,Calculator!$B$12)</f>
        <v>39780</v>
      </c>
      <c r="J140" s="11" t="n">
        <f aca="false">MAX(H140,0)-I140</f>
        <v>296720</v>
      </c>
      <c r="K140" s="11" t="n">
        <f aca="false">MIN(IF(A140&gt;0,Calculator!$B$13,0)+E140+Calculator!$B$14,'Tax Tables'!$B$36)</f>
        <v>1000</v>
      </c>
      <c r="L140" s="11" t="n">
        <f aca="false">MAX(A140-K140,0)</f>
        <v>62500</v>
      </c>
      <c r="M140" s="11" t="n">
        <f aca="false">SUMPRODUCT((L140&gt;'Tax Tables'!$A$5:$A$17)*(L140-'Tax Tables'!$A$5:$A$17)*'Tax Tables'!$C$5:$C$17)</f>
        <v>2125</v>
      </c>
      <c r="N140" s="11" t="n">
        <f aca="false">IF(H140&lt;0,-1E+099,A140-E140-M140+J140+(E140+F140)*Calculator!$B$9)</f>
        <v>358095</v>
      </c>
      <c r="O140" s="2"/>
      <c r="P140" s="11" t="n">
        <f aca="false">127*$B$3</f>
        <v>63500</v>
      </c>
      <c r="Q140" s="11" t="n">
        <f aca="false">MIN(P140,'Tax Tables'!$B$31*'Tax Tables'!$B$32)</f>
        <v>63500</v>
      </c>
      <c r="R140" s="11" t="n">
        <f aca="false">P140-Q140</f>
        <v>0</v>
      </c>
      <c r="S140" s="11" t="n">
        <f aca="false">IF(Calculator!$B$6="Yes",MIN(Q140,'Tax Tables'!$B$31*'Tax Tables'!$B$32),0)</f>
        <v>63500</v>
      </c>
      <c r="T140" s="11" t="n">
        <f aca="false">S140*Calculator!$B$7</f>
        <v>12700</v>
      </c>
      <c r="U140" s="11" t="n">
        <f aca="false">S140*Calculator!$B$8</f>
        <v>10795</v>
      </c>
      <c r="V140" s="11" t="n">
        <f aca="false">IF(Q140&gt;0,'Tax Tables'!$B$32*MIN(MAX(Q140/'Tax Tables'!$B$32*'Tax Tables'!$B$33,'Tax Tables'!$B$34),'Tax Tables'!$B$35),0)</f>
        <v>135</v>
      </c>
      <c r="W140" s="11" t="n">
        <f aca="false">Calculator!$B$5-P140-U140-V140</f>
        <v>325570</v>
      </c>
      <c r="X140" s="11" t="n">
        <f aca="false">'Tax Tables'!$B$22*(MAX(W140,0)-IF(Calculator!$B$10="Yes",MIN(MAX(W140,0),'Tax Tables'!$B$27)*'Tax Tables'!$B$28+MIN(MAX(MAX(W140,0)-'Tax Tables'!$B$27,0),'Tax Tables'!$B$29)*'Tax Tables'!$B$30,MIN(MAX(W140,0),'Tax Tables'!$B$23)*'Tax Tables'!$B$24+MIN(MAX(MAX(W140,0)-'Tax Tables'!$B$23,0),'Tax Tables'!$B$25)*'Tax Tables'!$B$26))*1-MIN('Tax Tables'!$B$22*(MAX(W140,0)-IF(Calculator!$B$10="Yes",MIN(MAX(W140,0),'Tax Tables'!$B$27)*'Tax Tables'!$B$28+MIN(MAX(MAX(W140,0)-'Tax Tables'!$B$27,0),'Tax Tables'!$B$29)*'Tax Tables'!$B$30,MIN(MAX(W140,0),'Tax Tables'!$B$23)*'Tax Tables'!$B$24+MIN(MAX(MAX(W140,0)-'Tax Tables'!$B$23,0),'Tax Tables'!$B$25)*'Tax Tables'!$B$26))*Calculator!$B$11,Calculator!$B$12)</f>
        <v>37921.9</v>
      </c>
      <c r="Y140" s="11" t="n">
        <f aca="false">MAX(W140,0)-X140</f>
        <v>287648.1</v>
      </c>
      <c r="Z140" s="11" t="n">
        <f aca="false">MIN(IF(P140&gt;0,Calculator!$B$13,0)+T140+Calculator!$B$14,'Tax Tables'!$B$36)</f>
        <v>13700</v>
      </c>
      <c r="AA140" s="11" t="n">
        <f aca="false">MAX(P140-Z140,0)</f>
        <v>49800</v>
      </c>
      <c r="AB140" s="11" t="n">
        <f aca="false">SUMPRODUCT((AA140&gt;'Tax Tables'!$A$5:$A$17)*(AA140-'Tax Tables'!$A$5:$A$17)*'Tax Tables'!$C$5:$C$17)</f>
        <v>1236</v>
      </c>
      <c r="AC140" s="11" t="n">
        <f aca="false">IF(W140&lt;0,-1E+099,P140-T140-AB140+Y140+(T140+U140)*Calculator!$B$9)</f>
        <v>360707.1</v>
      </c>
    </row>
    <row r="141" customFormat="false" ht="15" hidden="false" customHeight="false" outlineLevel="0" collapsed="false">
      <c r="A141" s="11" t="n">
        <f aca="false">128*$B$3</f>
        <v>64000</v>
      </c>
      <c r="B141" s="11" t="n">
        <f aca="false">0</f>
        <v>0</v>
      </c>
      <c r="C141" s="11" t="n">
        <f aca="false">A141-B141</f>
        <v>64000</v>
      </c>
      <c r="D141" s="11" t="n">
        <f aca="false">IF(Calculator!$B$6="Yes",MIN(B141,'Tax Tables'!$B$31*'Tax Tables'!$B$32),0)</f>
        <v>0</v>
      </c>
      <c r="E141" s="11" t="n">
        <f aca="false">D141*Calculator!$B$7</f>
        <v>0</v>
      </c>
      <c r="F141" s="11" t="n">
        <f aca="false">D141*Calculator!$B$8</f>
        <v>0</v>
      </c>
      <c r="G141" s="11" t="n">
        <f aca="false">IF(B141&gt;0,'Tax Tables'!$B$32*MIN(MAX(B141/'Tax Tables'!$B$32*'Tax Tables'!$B$33,'Tax Tables'!$B$34),'Tax Tables'!$B$35),0)</f>
        <v>0</v>
      </c>
      <c r="H141" s="11" t="n">
        <f aca="false">Calculator!$B$5-A141-F141-G141</f>
        <v>336000</v>
      </c>
      <c r="I141" s="11" t="n">
        <f aca="false">'Tax Tables'!$B$22*(MAX(H141,0)-IF(Calculator!$B$10="Yes",MIN(MAX(H141,0),'Tax Tables'!$B$27)*'Tax Tables'!$B$28+MIN(MAX(MAX(H141,0)-'Tax Tables'!$B$27,0),'Tax Tables'!$B$29)*'Tax Tables'!$B$30,MIN(MAX(H141,0),'Tax Tables'!$B$23)*'Tax Tables'!$B$24+MIN(MAX(MAX(H141,0)-'Tax Tables'!$B$23,0),'Tax Tables'!$B$25)*'Tax Tables'!$B$26))*1-MIN('Tax Tables'!$B$22*(MAX(H141,0)-IF(Calculator!$B$10="Yes",MIN(MAX(H141,0),'Tax Tables'!$B$27)*'Tax Tables'!$B$28+MIN(MAX(MAX(H141,0)-'Tax Tables'!$B$27,0),'Tax Tables'!$B$29)*'Tax Tables'!$B$30,MIN(MAX(H141,0),'Tax Tables'!$B$23)*'Tax Tables'!$B$24+MIN(MAX(MAX(H141,0)-'Tax Tables'!$B$23,0),'Tax Tables'!$B$25)*'Tax Tables'!$B$26))*Calculator!$B$11,Calculator!$B$12)</f>
        <v>39695</v>
      </c>
      <c r="J141" s="11" t="n">
        <f aca="false">MAX(H141,0)-I141</f>
        <v>296305</v>
      </c>
      <c r="K141" s="11" t="n">
        <f aca="false">MIN(IF(A141&gt;0,Calculator!$B$13,0)+E141+Calculator!$B$14,'Tax Tables'!$B$36)</f>
        <v>1000</v>
      </c>
      <c r="L141" s="11" t="n">
        <f aca="false">MAX(A141-K141,0)</f>
        <v>63000</v>
      </c>
      <c r="M141" s="11" t="n">
        <f aca="false">SUMPRODUCT((L141&gt;'Tax Tables'!$A$5:$A$17)*(L141-'Tax Tables'!$A$5:$A$17)*'Tax Tables'!$C$5:$C$17)</f>
        <v>2160</v>
      </c>
      <c r="N141" s="11" t="n">
        <f aca="false">IF(H141&lt;0,-1E+099,A141-E141-M141+J141+(E141+F141)*Calculator!$B$9)</f>
        <v>358145</v>
      </c>
      <c r="O141" s="2"/>
      <c r="P141" s="11" t="n">
        <f aca="false">128*$B$3</f>
        <v>64000</v>
      </c>
      <c r="Q141" s="11" t="n">
        <f aca="false">MIN(P141,'Tax Tables'!$B$31*'Tax Tables'!$B$32)</f>
        <v>64000</v>
      </c>
      <c r="R141" s="11" t="n">
        <f aca="false">P141-Q141</f>
        <v>0</v>
      </c>
      <c r="S141" s="11" t="n">
        <f aca="false">IF(Calculator!$B$6="Yes",MIN(Q141,'Tax Tables'!$B$31*'Tax Tables'!$B$32),0)</f>
        <v>64000</v>
      </c>
      <c r="T141" s="11" t="n">
        <f aca="false">S141*Calculator!$B$7</f>
        <v>12800</v>
      </c>
      <c r="U141" s="11" t="n">
        <f aca="false">S141*Calculator!$B$8</f>
        <v>10880</v>
      </c>
      <c r="V141" s="11" t="n">
        <f aca="false">IF(Q141&gt;0,'Tax Tables'!$B$32*MIN(MAX(Q141/'Tax Tables'!$B$32*'Tax Tables'!$B$33,'Tax Tables'!$B$34),'Tax Tables'!$B$35),0)</f>
        <v>135</v>
      </c>
      <c r="W141" s="11" t="n">
        <f aca="false">Calculator!$B$5-P141-U141-V141</f>
        <v>324985</v>
      </c>
      <c r="X141" s="11" t="n">
        <f aca="false">'Tax Tables'!$B$22*(MAX(W141,0)-IF(Calculator!$B$10="Yes",MIN(MAX(W141,0),'Tax Tables'!$B$27)*'Tax Tables'!$B$28+MIN(MAX(MAX(W141,0)-'Tax Tables'!$B$27,0),'Tax Tables'!$B$29)*'Tax Tables'!$B$30,MIN(MAX(W141,0),'Tax Tables'!$B$23)*'Tax Tables'!$B$24+MIN(MAX(MAX(W141,0)-'Tax Tables'!$B$23,0),'Tax Tables'!$B$25)*'Tax Tables'!$B$26))*1-MIN('Tax Tables'!$B$22*(MAX(W141,0)-IF(Calculator!$B$10="Yes",MIN(MAX(W141,0),'Tax Tables'!$B$27)*'Tax Tables'!$B$28+MIN(MAX(MAX(W141,0)-'Tax Tables'!$B$27,0),'Tax Tables'!$B$29)*'Tax Tables'!$B$30,MIN(MAX(W141,0),'Tax Tables'!$B$23)*'Tax Tables'!$B$24+MIN(MAX(MAX(W141,0)-'Tax Tables'!$B$23,0),'Tax Tables'!$B$25)*'Tax Tables'!$B$26))*Calculator!$B$11,Calculator!$B$12)</f>
        <v>37822.45</v>
      </c>
      <c r="Y141" s="11" t="n">
        <f aca="false">MAX(W141,0)-X141</f>
        <v>287162.55</v>
      </c>
      <c r="Z141" s="11" t="n">
        <f aca="false">MIN(IF(P141&gt;0,Calculator!$B$13,0)+T141+Calculator!$B$14,'Tax Tables'!$B$36)</f>
        <v>13800</v>
      </c>
      <c r="AA141" s="11" t="n">
        <f aca="false">MAX(P141-Z141,0)</f>
        <v>50200</v>
      </c>
      <c r="AB141" s="11" t="n">
        <f aca="false">SUMPRODUCT((AA141&gt;'Tax Tables'!$A$5:$A$17)*(AA141-'Tax Tables'!$A$5:$A$17)*'Tax Tables'!$C$5:$C$17)</f>
        <v>1264</v>
      </c>
      <c r="AC141" s="11" t="n">
        <f aca="false">IF(W141&lt;0,-1E+099,P141-T141-AB141+Y141+(T141+U141)*Calculator!$B$9)</f>
        <v>360778.55</v>
      </c>
    </row>
    <row r="142" customFormat="false" ht="15" hidden="false" customHeight="false" outlineLevel="0" collapsed="false">
      <c r="A142" s="11" t="n">
        <f aca="false">129*$B$3</f>
        <v>64500</v>
      </c>
      <c r="B142" s="11" t="n">
        <f aca="false">0</f>
        <v>0</v>
      </c>
      <c r="C142" s="11" t="n">
        <f aca="false">A142-B142</f>
        <v>64500</v>
      </c>
      <c r="D142" s="11" t="n">
        <f aca="false">IF(Calculator!$B$6="Yes",MIN(B142,'Tax Tables'!$B$31*'Tax Tables'!$B$32),0)</f>
        <v>0</v>
      </c>
      <c r="E142" s="11" t="n">
        <f aca="false">D142*Calculator!$B$7</f>
        <v>0</v>
      </c>
      <c r="F142" s="11" t="n">
        <f aca="false">D142*Calculator!$B$8</f>
        <v>0</v>
      </c>
      <c r="G142" s="11" t="n">
        <f aca="false">IF(B142&gt;0,'Tax Tables'!$B$32*MIN(MAX(B142/'Tax Tables'!$B$32*'Tax Tables'!$B$33,'Tax Tables'!$B$34),'Tax Tables'!$B$35),0)</f>
        <v>0</v>
      </c>
      <c r="H142" s="11" t="n">
        <f aca="false">Calculator!$B$5-A142-F142-G142</f>
        <v>335500</v>
      </c>
      <c r="I142" s="11" t="n">
        <f aca="false">'Tax Tables'!$B$22*(MAX(H142,0)-IF(Calculator!$B$10="Yes",MIN(MAX(H142,0),'Tax Tables'!$B$27)*'Tax Tables'!$B$28+MIN(MAX(MAX(H142,0)-'Tax Tables'!$B$27,0),'Tax Tables'!$B$29)*'Tax Tables'!$B$30,MIN(MAX(H142,0),'Tax Tables'!$B$23)*'Tax Tables'!$B$24+MIN(MAX(MAX(H142,0)-'Tax Tables'!$B$23,0),'Tax Tables'!$B$25)*'Tax Tables'!$B$26))*1-MIN('Tax Tables'!$B$22*(MAX(H142,0)-IF(Calculator!$B$10="Yes",MIN(MAX(H142,0),'Tax Tables'!$B$27)*'Tax Tables'!$B$28+MIN(MAX(MAX(H142,0)-'Tax Tables'!$B$27,0),'Tax Tables'!$B$29)*'Tax Tables'!$B$30,MIN(MAX(H142,0),'Tax Tables'!$B$23)*'Tax Tables'!$B$24+MIN(MAX(MAX(H142,0)-'Tax Tables'!$B$23,0),'Tax Tables'!$B$25)*'Tax Tables'!$B$26))*Calculator!$B$11,Calculator!$B$12)</f>
        <v>39610</v>
      </c>
      <c r="J142" s="11" t="n">
        <f aca="false">MAX(H142,0)-I142</f>
        <v>295890</v>
      </c>
      <c r="K142" s="11" t="n">
        <f aca="false">MIN(IF(A142&gt;0,Calculator!$B$13,0)+E142+Calculator!$B$14,'Tax Tables'!$B$36)</f>
        <v>1000</v>
      </c>
      <c r="L142" s="11" t="n">
        <f aca="false">MAX(A142-K142,0)</f>
        <v>63500</v>
      </c>
      <c r="M142" s="11" t="n">
        <f aca="false">SUMPRODUCT((L142&gt;'Tax Tables'!$A$5:$A$17)*(L142-'Tax Tables'!$A$5:$A$17)*'Tax Tables'!$C$5:$C$17)</f>
        <v>2195</v>
      </c>
      <c r="N142" s="11" t="n">
        <f aca="false">IF(H142&lt;0,-1E+099,A142-E142-M142+J142+(E142+F142)*Calculator!$B$9)</f>
        <v>358195</v>
      </c>
      <c r="O142" s="2"/>
      <c r="P142" s="11" t="n">
        <f aca="false">129*$B$3</f>
        <v>64500</v>
      </c>
      <c r="Q142" s="11" t="n">
        <f aca="false">MIN(P142,'Tax Tables'!$B$31*'Tax Tables'!$B$32)</f>
        <v>64500</v>
      </c>
      <c r="R142" s="11" t="n">
        <f aca="false">P142-Q142</f>
        <v>0</v>
      </c>
      <c r="S142" s="11" t="n">
        <f aca="false">IF(Calculator!$B$6="Yes",MIN(Q142,'Tax Tables'!$B$31*'Tax Tables'!$B$32),0)</f>
        <v>64500</v>
      </c>
      <c r="T142" s="11" t="n">
        <f aca="false">S142*Calculator!$B$7</f>
        <v>12900</v>
      </c>
      <c r="U142" s="11" t="n">
        <f aca="false">S142*Calculator!$B$8</f>
        <v>10965</v>
      </c>
      <c r="V142" s="11" t="n">
        <f aca="false">IF(Q142&gt;0,'Tax Tables'!$B$32*MIN(MAX(Q142/'Tax Tables'!$B$32*'Tax Tables'!$B$33,'Tax Tables'!$B$34),'Tax Tables'!$B$35),0)</f>
        <v>135</v>
      </c>
      <c r="W142" s="11" t="n">
        <f aca="false">Calculator!$B$5-P142-U142-V142</f>
        <v>324400</v>
      </c>
      <c r="X142" s="11" t="n">
        <f aca="false">'Tax Tables'!$B$22*(MAX(W142,0)-IF(Calculator!$B$10="Yes",MIN(MAX(W142,0),'Tax Tables'!$B$27)*'Tax Tables'!$B$28+MIN(MAX(MAX(W142,0)-'Tax Tables'!$B$27,0),'Tax Tables'!$B$29)*'Tax Tables'!$B$30,MIN(MAX(W142,0),'Tax Tables'!$B$23)*'Tax Tables'!$B$24+MIN(MAX(MAX(W142,0)-'Tax Tables'!$B$23,0),'Tax Tables'!$B$25)*'Tax Tables'!$B$26))*1-MIN('Tax Tables'!$B$22*(MAX(W142,0)-IF(Calculator!$B$10="Yes",MIN(MAX(W142,0),'Tax Tables'!$B$27)*'Tax Tables'!$B$28+MIN(MAX(MAX(W142,0)-'Tax Tables'!$B$27,0),'Tax Tables'!$B$29)*'Tax Tables'!$B$30,MIN(MAX(W142,0),'Tax Tables'!$B$23)*'Tax Tables'!$B$24+MIN(MAX(MAX(W142,0)-'Tax Tables'!$B$23,0),'Tax Tables'!$B$25)*'Tax Tables'!$B$26))*Calculator!$B$11,Calculator!$B$12)</f>
        <v>37723</v>
      </c>
      <c r="Y142" s="11" t="n">
        <f aca="false">MAX(W142,0)-X142</f>
        <v>286677</v>
      </c>
      <c r="Z142" s="11" t="n">
        <f aca="false">MIN(IF(P142&gt;0,Calculator!$B$13,0)+T142+Calculator!$B$14,'Tax Tables'!$B$36)</f>
        <v>13900</v>
      </c>
      <c r="AA142" s="11" t="n">
        <f aca="false">MAX(P142-Z142,0)</f>
        <v>50600</v>
      </c>
      <c r="AB142" s="11" t="n">
        <f aca="false">SUMPRODUCT((AA142&gt;'Tax Tables'!$A$5:$A$17)*(AA142-'Tax Tables'!$A$5:$A$17)*'Tax Tables'!$C$5:$C$17)</f>
        <v>1292</v>
      </c>
      <c r="AC142" s="11" t="n">
        <f aca="false">IF(W142&lt;0,-1E+099,P142-T142-AB142+Y142+(T142+U142)*Calculator!$B$9)</f>
        <v>360850</v>
      </c>
    </row>
    <row r="143" customFormat="false" ht="15" hidden="false" customHeight="false" outlineLevel="0" collapsed="false">
      <c r="A143" s="11" t="n">
        <f aca="false">130*$B$3</f>
        <v>65000</v>
      </c>
      <c r="B143" s="11" t="n">
        <f aca="false">0</f>
        <v>0</v>
      </c>
      <c r="C143" s="11" t="n">
        <f aca="false">A143-B143</f>
        <v>65000</v>
      </c>
      <c r="D143" s="11" t="n">
        <f aca="false">IF(Calculator!$B$6="Yes",MIN(B143,'Tax Tables'!$B$31*'Tax Tables'!$B$32),0)</f>
        <v>0</v>
      </c>
      <c r="E143" s="11" t="n">
        <f aca="false">D143*Calculator!$B$7</f>
        <v>0</v>
      </c>
      <c r="F143" s="11" t="n">
        <f aca="false">D143*Calculator!$B$8</f>
        <v>0</v>
      </c>
      <c r="G143" s="11" t="n">
        <f aca="false">IF(B143&gt;0,'Tax Tables'!$B$32*MIN(MAX(B143/'Tax Tables'!$B$32*'Tax Tables'!$B$33,'Tax Tables'!$B$34),'Tax Tables'!$B$35),0)</f>
        <v>0</v>
      </c>
      <c r="H143" s="11" t="n">
        <f aca="false">Calculator!$B$5-A143-F143-G143</f>
        <v>335000</v>
      </c>
      <c r="I143" s="11" t="n">
        <f aca="false">'Tax Tables'!$B$22*(MAX(H143,0)-IF(Calculator!$B$10="Yes",MIN(MAX(H143,0),'Tax Tables'!$B$27)*'Tax Tables'!$B$28+MIN(MAX(MAX(H143,0)-'Tax Tables'!$B$27,0),'Tax Tables'!$B$29)*'Tax Tables'!$B$30,MIN(MAX(H143,0),'Tax Tables'!$B$23)*'Tax Tables'!$B$24+MIN(MAX(MAX(H143,0)-'Tax Tables'!$B$23,0),'Tax Tables'!$B$25)*'Tax Tables'!$B$26))*1-MIN('Tax Tables'!$B$22*(MAX(H143,0)-IF(Calculator!$B$10="Yes",MIN(MAX(H143,0),'Tax Tables'!$B$27)*'Tax Tables'!$B$28+MIN(MAX(MAX(H143,0)-'Tax Tables'!$B$27,0),'Tax Tables'!$B$29)*'Tax Tables'!$B$30,MIN(MAX(H143,0),'Tax Tables'!$B$23)*'Tax Tables'!$B$24+MIN(MAX(MAX(H143,0)-'Tax Tables'!$B$23,0),'Tax Tables'!$B$25)*'Tax Tables'!$B$26))*Calculator!$B$11,Calculator!$B$12)</f>
        <v>39525</v>
      </c>
      <c r="J143" s="11" t="n">
        <f aca="false">MAX(H143,0)-I143</f>
        <v>295475</v>
      </c>
      <c r="K143" s="11" t="n">
        <f aca="false">MIN(IF(A143&gt;0,Calculator!$B$13,0)+E143+Calculator!$B$14,'Tax Tables'!$B$36)</f>
        <v>1000</v>
      </c>
      <c r="L143" s="11" t="n">
        <f aca="false">MAX(A143-K143,0)</f>
        <v>64000</v>
      </c>
      <c r="M143" s="11" t="n">
        <f aca="false">SUMPRODUCT((L143&gt;'Tax Tables'!$A$5:$A$17)*(L143-'Tax Tables'!$A$5:$A$17)*'Tax Tables'!$C$5:$C$17)</f>
        <v>2230</v>
      </c>
      <c r="N143" s="11" t="n">
        <f aca="false">IF(H143&lt;0,-1E+099,A143-E143-M143+J143+(E143+F143)*Calculator!$B$9)</f>
        <v>358245</v>
      </c>
      <c r="O143" s="2"/>
      <c r="P143" s="11" t="n">
        <f aca="false">130*$B$3</f>
        <v>65000</v>
      </c>
      <c r="Q143" s="11" t="n">
        <f aca="false">MIN(P143,'Tax Tables'!$B$31*'Tax Tables'!$B$32)</f>
        <v>65000</v>
      </c>
      <c r="R143" s="11" t="n">
        <f aca="false">P143-Q143</f>
        <v>0</v>
      </c>
      <c r="S143" s="11" t="n">
        <f aca="false">IF(Calculator!$B$6="Yes",MIN(Q143,'Tax Tables'!$B$31*'Tax Tables'!$B$32),0)</f>
        <v>65000</v>
      </c>
      <c r="T143" s="11" t="n">
        <f aca="false">S143*Calculator!$B$7</f>
        <v>13000</v>
      </c>
      <c r="U143" s="11" t="n">
        <f aca="false">S143*Calculator!$B$8</f>
        <v>11050</v>
      </c>
      <c r="V143" s="11" t="n">
        <f aca="false">IF(Q143&gt;0,'Tax Tables'!$B$32*MIN(MAX(Q143/'Tax Tables'!$B$32*'Tax Tables'!$B$33,'Tax Tables'!$B$34),'Tax Tables'!$B$35),0)</f>
        <v>135</v>
      </c>
      <c r="W143" s="11" t="n">
        <f aca="false">Calculator!$B$5-P143-U143-V143</f>
        <v>323815</v>
      </c>
      <c r="X143" s="11" t="n">
        <f aca="false">'Tax Tables'!$B$22*(MAX(W143,0)-IF(Calculator!$B$10="Yes",MIN(MAX(W143,0),'Tax Tables'!$B$27)*'Tax Tables'!$B$28+MIN(MAX(MAX(W143,0)-'Tax Tables'!$B$27,0),'Tax Tables'!$B$29)*'Tax Tables'!$B$30,MIN(MAX(W143,0),'Tax Tables'!$B$23)*'Tax Tables'!$B$24+MIN(MAX(MAX(W143,0)-'Tax Tables'!$B$23,0),'Tax Tables'!$B$25)*'Tax Tables'!$B$26))*1-MIN('Tax Tables'!$B$22*(MAX(W143,0)-IF(Calculator!$B$10="Yes",MIN(MAX(W143,0),'Tax Tables'!$B$27)*'Tax Tables'!$B$28+MIN(MAX(MAX(W143,0)-'Tax Tables'!$B$27,0),'Tax Tables'!$B$29)*'Tax Tables'!$B$30,MIN(MAX(W143,0),'Tax Tables'!$B$23)*'Tax Tables'!$B$24+MIN(MAX(MAX(W143,0)-'Tax Tables'!$B$23,0),'Tax Tables'!$B$25)*'Tax Tables'!$B$26))*Calculator!$B$11,Calculator!$B$12)</f>
        <v>37623.55</v>
      </c>
      <c r="Y143" s="11" t="n">
        <f aca="false">MAX(W143,0)-X143</f>
        <v>286191.45</v>
      </c>
      <c r="Z143" s="11" t="n">
        <f aca="false">MIN(IF(P143&gt;0,Calculator!$B$13,0)+T143+Calculator!$B$14,'Tax Tables'!$B$36)</f>
        <v>14000</v>
      </c>
      <c r="AA143" s="11" t="n">
        <f aca="false">MAX(P143-Z143,0)</f>
        <v>51000</v>
      </c>
      <c r="AB143" s="11" t="n">
        <f aca="false">SUMPRODUCT((AA143&gt;'Tax Tables'!$A$5:$A$17)*(AA143-'Tax Tables'!$A$5:$A$17)*'Tax Tables'!$C$5:$C$17)</f>
        <v>1320</v>
      </c>
      <c r="AC143" s="11" t="n">
        <f aca="false">IF(W143&lt;0,-1E+099,P143-T143-AB143+Y143+(T143+U143)*Calculator!$B$9)</f>
        <v>360921.45</v>
      </c>
    </row>
    <row r="144" customFormat="false" ht="15" hidden="false" customHeight="false" outlineLevel="0" collapsed="false">
      <c r="A144" s="11" t="n">
        <f aca="false">131*$B$3</f>
        <v>65500</v>
      </c>
      <c r="B144" s="11" t="n">
        <f aca="false">0</f>
        <v>0</v>
      </c>
      <c r="C144" s="11" t="n">
        <f aca="false">A144-B144</f>
        <v>65500</v>
      </c>
      <c r="D144" s="11" t="n">
        <f aca="false">IF(Calculator!$B$6="Yes",MIN(B144,'Tax Tables'!$B$31*'Tax Tables'!$B$32),0)</f>
        <v>0</v>
      </c>
      <c r="E144" s="11" t="n">
        <f aca="false">D144*Calculator!$B$7</f>
        <v>0</v>
      </c>
      <c r="F144" s="11" t="n">
        <f aca="false">D144*Calculator!$B$8</f>
        <v>0</v>
      </c>
      <c r="G144" s="11" t="n">
        <f aca="false">IF(B144&gt;0,'Tax Tables'!$B$32*MIN(MAX(B144/'Tax Tables'!$B$32*'Tax Tables'!$B$33,'Tax Tables'!$B$34),'Tax Tables'!$B$35),0)</f>
        <v>0</v>
      </c>
      <c r="H144" s="11" t="n">
        <f aca="false">Calculator!$B$5-A144-F144-G144</f>
        <v>334500</v>
      </c>
      <c r="I144" s="11" t="n">
        <f aca="false">'Tax Tables'!$B$22*(MAX(H144,0)-IF(Calculator!$B$10="Yes",MIN(MAX(H144,0),'Tax Tables'!$B$27)*'Tax Tables'!$B$28+MIN(MAX(MAX(H144,0)-'Tax Tables'!$B$27,0),'Tax Tables'!$B$29)*'Tax Tables'!$B$30,MIN(MAX(H144,0),'Tax Tables'!$B$23)*'Tax Tables'!$B$24+MIN(MAX(MAX(H144,0)-'Tax Tables'!$B$23,0),'Tax Tables'!$B$25)*'Tax Tables'!$B$26))*1-MIN('Tax Tables'!$B$22*(MAX(H144,0)-IF(Calculator!$B$10="Yes",MIN(MAX(H144,0),'Tax Tables'!$B$27)*'Tax Tables'!$B$28+MIN(MAX(MAX(H144,0)-'Tax Tables'!$B$27,0),'Tax Tables'!$B$29)*'Tax Tables'!$B$30,MIN(MAX(H144,0),'Tax Tables'!$B$23)*'Tax Tables'!$B$24+MIN(MAX(MAX(H144,0)-'Tax Tables'!$B$23,0),'Tax Tables'!$B$25)*'Tax Tables'!$B$26))*Calculator!$B$11,Calculator!$B$12)</f>
        <v>39440</v>
      </c>
      <c r="J144" s="11" t="n">
        <f aca="false">MAX(H144,0)-I144</f>
        <v>295060</v>
      </c>
      <c r="K144" s="11" t="n">
        <f aca="false">MIN(IF(A144&gt;0,Calculator!$B$13,0)+E144+Calculator!$B$14,'Tax Tables'!$B$36)</f>
        <v>1000</v>
      </c>
      <c r="L144" s="11" t="n">
        <f aca="false">MAX(A144-K144,0)</f>
        <v>64500</v>
      </c>
      <c r="M144" s="11" t="n">
        <f aca="false">SUMPRODUCT((L144&gt;'Tax Tables'!$A$5:$A$17)*(L144-'Tax Tables'!$A$5:$A$17)*'Tax Tables'!$C$5:$C$17)</f>
        <v>2265</v>
      </c>
      <c r="N144" s="11" t="n">
        <f aca="false">IF(H144&lt;0,-1E+099,A144-E144-M144+J144+(E144+F144)*Calculator!$B$9)</f>
        <v>358295</v>
      </c>
      <c r="O144" s="2"/>
      <c r="P144" s="11" t="n">
        <f aca="false">131*$B$3</f>
        <v>65500</v>
      </c>
      <c r="Q144" s="11" t="n">
        <f aca="false">MIN(P144,'Tax Tables'!$B$31*'Tax Tables'!$B$32)</f>
        <v>65500</v>
      </c>
      <c r="R144" s="11" t="n">
        <f aca="false">P144-Q144</f>
        <v>0</v>
      </c>
      <c r="S144" s="11" t="n">
        <f aca="false">IF(Calculator!$B$6="Yes",MIN(Q144,'Tax Tables'!$B$31*'Tax Tables'!$B$32),0)</f>
        <v>65500</v>
      </c>
      <c r="T144" s="11" t="n">
        <f aca="false">S144*Calculator!$B$7</f>
        <v>13100</v>
      </c>
      <c r="U144" s="11" t="n">
        <f aca="false">S144*Calculator!$B$8</f>
        <v>11135</v>
      </c>
      <c r="V144" s="11" t="n">
        <f aca="false">IF(Q144&gt;0,'Tax Tables'!$B$32*MIN(MAX(Q144/'Tax Tables'!$B$32*'Tax Tables'!$B$33,'Tax Tables'!$B$34),'Tax Tables'!$B$35),0)</f>
        <v>135</v>
      </c>
      <c r="W144" s="11" t="n">
        <f aca="false">Calculator!$B$5-P144-U144-V144</f>
        <v>323230</v>
      </c>
      <c r="X144" s="11" t="n">
        <f aca="false">'Tax Tables'!$B$22*(MAX(W144,0)-IF(Calculator!$B$10="Yes",MIN(MAX(W144,0),'Tax Tables'!$B$27)*'Tax Tables'!$B$28+MIN(MAX(MAX(W144,0)-'Tax Tables'!$B$27,0),'Tax Tables'!$B$29)*'Tax Tables'!$B$30,MIN(MAX(W144,0),'Tax Tables'!$B$23)*'Tax Tables'!$B$24+MIN(MAX(MAX(W144,0)-'Tax Tables'!$B$23,0),'Tax Tables'!$B$25)*'Tax Tables'!$B$26))*1-MIN('Tax Tables'!$B$22*(MAX(W144,0)-IF(Calculator!$B$10="Yes",MIN(MAX(W144,0),'Tax Tables'!$B$27)*'Tax Tables'!$B$28+MIN(MAX(MAX(W144,0)-'Tax Tables'!$B$27,0),'Tax Tables'!$B$29)*'Tax Tables'!$B$30,MIN(MAX(W144,0),'Tax Tables'!$B$23)*'Tax Tables'!$B$24+MIN(MAX(MAX(W144,0)-'Tax Tables'!$B$23,0),'Tax Tables'!$B$25)*'Tax Tables'!$B$26))*Calculator!$B$11,Calculator!$B$12)</f>
        <v>37524.1</v>
      </c>
      <c r="Y144" s="11" t="n">
        <f aca="false">MAX(W144,0)-X144</f>
        <v>285705.9</v>
      </c>
      <c r="Z144" s="11" t="n">
        <f aca="false">MIN(IF(P144&gt;0,Calculator!$B$13,0)+T144+Calculator!$B$14,'Tax Tables'!$B$36)</f>
        <v>14100</v>
      </c>
      <c r="AA144" s="11" t="n">
        <f aca="false">MAX(P144-Z144,0)</f>
        <v>51400</v>
      </c>
      <c r="AB144" s="11" t="n">
        <f aca="false">SUMPRODUCT((AA144&gt;'Tax Tables'!$A$5:$A$17)*(AA144-'Tax Tables'!$A$5:$A$17)*'Tax Tables'!$C$5:$C$17)</f>
        <v>1348</v>
      </c>
      <c r="AC144" s="11" t="n">
        <f aca="false">IF(W144&lt;0,-1E+099,P144-T144-AB144+Y144+(T144+U144)*Calculator!$B$9)</f>
        <v>360992.9</v>
      </c>
    </row>
    <row r="145" customFormat="false" ht="15" hidden="false" customHeight="false" outlineLevel="0" collapsed="false">
      <c r="A145" s="11" t="n">
        <f aca="false">132*$B$3</f>
        <v>66000</v>
      </c>
      <c r="B145" s="11" t="n">
        <f aca="false">0</f>
        <v>0</v>
      </c>
      <c r="C145" s="11" t="n">
        <f aca="false">A145-B145</f>
        <v>66000</v>
      </c>
      <c r="D145" s="11" t="n">
        <f aca="false">IF(Calculator!$B$6="Yes",MIN(B145,'Tax Tables'!$B$31*'Tax Tables'!$B$32),0)</f>
        <v>0</v>
      </c>
      <c r="E145" s="11" t="n">
        <f aca="false">D145*Calculator!$B$7</f>
        <v>0</v>
      </c>
      <c r="F145" s="11" t="n">
        <f aca="false">D145*Calculator!$B$8</f>
        <v>0</v>
      </c>
      <c r="G145" s="11" t="n">
        <f aca="false">IF(B145&gt;0,'Tax Tables'!$B$32*MIN(MAX(B145/'Tax Tables'!$B$32*'Tax Tables'!$B$33,'Tax Tables'!$B$34),'Tax Tables'!$B$35),0)</f>
        <v>0</v>
      </c>
      <c r="H145" s="11" t="n">
        <f aca="false">Calculator!$B$5-A145-F145-G145</f>
        <v>334000</v>
      </c>
      <c r="I145" s="11" t="n">
        <f aca="false">'Tax Tables'!$B$22*(MAX(H145,0)-IF(Calculator!$B$10="Yes",MIN(MAX(H145,0),'Tax Tables'!$B$27)*'Tax Tables'!$B$28+MIN(MAX(MAX(H145,0)-'Tax Tables'!$B$27,0),'Tax Tables'!$B$29)*'Tax Tables'!$B$30,MIN(MAX(H145,0),'Tax Tables'!$B$23)*'Tax Tables'!$B$24+MIN(MAX(MAX(H145,0)-'Tax Tables'!$B$23,0),'Tax Tables'!$B$25)*'Tax Tables'!$B$26))*1-MIN('Tax Tables'!$B$22*(MAX(H145,0)-IF(Calculator!$B$10="Yes",MIN(MAX(H145,0),'Tax Tables'!$B$27)*'Tax Tables'!$B$28+MIN(MAX(MAX(H145,0)-'Tax Tables'!$B$27,0),'Tax Tables'!$B$29)*'Tax Tables'!$B$30,MIN(MAX(H145,0),'Tax Tables'!$B$23)*'Tax Tables'!$B$24+MIN(MAX(MAX(H145,0)-'Tax Tables'!$B$23,0),'Tax Tables'!$B$25)*'Tax Tables'!$B$26))*Calculator!$B$11,Calculator!$B$12)</f>
        <v>39355</v>
      </c>
      <c r="J145" s="11" t="n">
        <f aca="false">MAX(H145,0)-I145</f>
        <v>294645</v>
      </c>
      <c r="K145" s="11" t="n">
        <f aca="false">MIN(IF(A145&gt;0,Calculator!$B$13,0)+E145+Calculator!$B$14,'Tax Tables'!$B$36)</f>
        <v>1000</v>
      </c>
      <c r="L145" s="11" t="n">
        <f aca="false">MAX(A145-K145,0)</f>
        <v>65000</v>
      </c>
      <c r="M145" s="11" t="n">
        <f aca="false">SUMPRODUCT((L145&gt;'Tax Tables'!$A$5:$A$17)*(L145-'Tax Tables'!$A$5:$A$17)*'Tax Tables'!$C$5:$C$17)</f>
        <v>2300</v>
      </c>
      <c r="N145" s="11" t="n">
        <f aca="false">IF(H145&lt;0,-1E+099,A145-E145-M145+J145+(E145+F145)*Calculator!$B$9)</f>
        <v>358345</v>
      </c>
      <c r="O145" s="2"/>
      <c r="P145" s="11" t="n">
        <f aca="false">132*$B$3</f>
        <v>66000</v>
      </c>
      <c r="Q145" s="11" t="n">
        <f aca="false">MIN(P145,'Tax Tables'!$B$31*'Tax Tables'!$B$32)</f>
        <v>66000</v>
      </c>
      <c r="R145" s="11" t="n">
        <f aca="false">P145-Q145</f>
        <v>0</v>
      </c>
      <c r="S145" s="11" t="n">
        <f aca="false">IF(Calculator!$B$6="Yes",MIN(Q145,'Tax Tables'!$B$31*'Tax Tables'!$B$32),0)</f>
        <v>66000</v>
      </c>
      <c r="T145" s="11" t="n">
        <f aca="false">S145*Calculator!$B$7</f>
        <v>13200</v>
      </c>
      <c r="U145" s="11" t="n">
        <f aca="false">S145*Calculator!$B$8</f>
        <v>11220</v>
      </c>
      <c r="V145" s="11" t="n">
        <f aca="false">IF(Q145&gt;0,'Tax Tables'!$B$32*MIN(MAX(Q145/'Tax Tables'!$B$32*'Tax Tables'!$B$33,'Tax Tables'!$B$34),'Tax Tables'!$B$35),0)</f>
        <v>135</v>
      </c>
      <c r="W145" s="11" t="n">
        <f aca="false">Calculator!$B$5-P145-U145-V145</f>
        <v>322645</v>
      </c>
      <c r="X145" s="11" t="n">
        <f aca="false">'Tax Tables'!$B$22*(MAX(W145,0)-IF(Calculator!$B$10="Yes",MIN(MAX(W145,0),'Tax Tables'!$B$27)*'Tax Tables'!$B$28+MIN(MAX(MAX(W145,0)-'Tax Tables'!$B$27,0),'Tax Tables'!$B$29)*'Tax Tables'!$B$30,MIN(MAX(W145,0),'Tax Tables'!$B$23)*'Tax Tables'!$B$24+MIN(MAX(MAX(W145,0)-'Tax Tables'!$B$23,0),'Tax Tables'!$B$25)*'Tax Tables'!$B$26))*1-MIN('Tax Tables'!$B$22*(MAX(W145,0)-IF(Calculator!$B$10="Yes",MIN(MAX(W145,0),'Tax Tables'!$B$27)*'Tax Tables'!$B$28+MIN(MAX(MAX(W145,0)-'Tax Tables'!$B$27,0),'Tax Tables'!$B$29)*'Tax Tables'!$B$30,MIN(MAX(W145,0),'Tax Tables'!$B$23)*'Tax Tables'!$B$24+MIN(MAX(MAX(W145,0)-'Tax Tables'!$B$23,0),'Tax Tables'!$B$25)*'Tax Tables'!$B$26))*Calculator!$B$11,Calculator!$B$12)</f>
        <v>37424.65</v>
      </c>
      <c r="Y145" s="11" t="n">
        <f aca="false">MAX(W145,0)-X145</f>
        <v>285220.35</v>
      </c>
      <c r="Z145" s="11" t="n">
        <f aca="false">MIN(IF(P145&gt;0,Calculator!$B$13,0)+T145+Calculator!$B$14,'Tax Tables'!$B$36)</f>
        <v>14200</v>
      </c>
      <c r="AA145" s="11" t="n">
        <f aca="false">MAX(P145-Z145,0)</f>
        <v>51800</v>
      </c>
      <c r="AB145" s="11" t="n">
        <f aca="false">SUMPRODUCT((AA145&gt;'Tax Tables'!$A$5:$A$17)*(AA145-'Tax Tables'!$A$5:$A$17)*'Tax Tables'!$C$5:$C$17)</f>
        <v>1376</v>
      </c>
      <c r="AC145" s="11" t="n">
        <f aca="false">IF(W145&lt;0,-1E+099,P145-T145-AB145+Y145+(T145+U145)*Calculator!$B$9)</f>
        <v>361064.35</v>
      </c>
    </row>
    <row r="146" customFormat="false" ht="15" hidden="false" customHeight="false" outlineLevel="0" collapsed="false">
      <c r="A146" s="11" t="n">
        <f aca="false">133*$B$3</f>
        <v>66500</v>
      </c>
      <c r="B146" s="11" t="n">
        <f aca="false">0</f>
        <v>0</v>
      </c>
      <c r="C146" s="11" t="n">
        <f aca="false">A146-B146</f>
        <v>66500</v>
      </c>
      <c r="D146" s="11" t="n">
        <f aca="false">IF(Calculator!$B$6="Yes",MIN(B146,'Tax Tables'!$B$31*'Tax Tables'!$B$32),0)</f>
        <v>0</v>
      </c>
      <c r="E146" s="11" t="n">
        <f aca="false">D146*Calculator!$B$7</f>
        <v>0</v>
      </c>
      <c r="F146" s="11" t="n">
        <f aca="false">D146*Calculator!$B$8</f>
        <v>0</v>
      </c>
      <c r="G146" s="11" t="n">
        <f aca="false">IF(B146&gt;0,'Tax Tables'!$B$32*MIN(MAX(B146/'Tax Tables'!$B$32*'Tax Tables'!$B$33,'Tax Tables'!$B$34),'Tax Tables'!$B$35),0)</f>
        <v>0</v>
      </c>
      <c r="H146" s="11" t="n">
        <f aca="false">Calculator!$B$5-A146-F146-G146</f>
        <v>333500</v>
      </c>
      <c r="I146" s="11" t="n">
        <f aca="false">'Tax Tables'!$B$22*(MAX(H146,0)-IF(Calculator!$B$10="Yes",MIN(MAX(H146,0),'Tax Tables'!$B$27)*'Tax Tables'!$B$28+MIN(MAX(MAX(H146,0)-'Tax Tables'!$B$27,0),'Tax Tables'!$B$29)*'Tax Tables'!$B$30,MIN(MAX(H146,0),'Tax Tables'!$B$23)*'Tax Tables'!$B$24+MIN(MAX(MAX(H146,0)-'Tax Tables'!$B$23,0),'Tax Tables'!$B$25)*'Tax Tables'!$B$26))*1-MIN('Tax Tables'!$B$22*(MAX(H146,0)-IF(Calculator!$B$10="Yes",MIN(MAX(H146,0),'Tax Tables'!$B$27)*'Tax Tables'!$B$28+MIN(MAX(MAX(H146,0)-'Tax Tables'!$B$27,0),'Tax Tables'!$B$29)*'Tax Tables'!$B$30,MIN(MAX(H146,0),'Tax Tables'!$B$23)*'Tax Tables'!$B$24+MIN(MAX(MAX(H146,0)-'Tax Tables'!$B$23,0),'Tax Tables'!$B$25)*'Tax Tables'!$B$26))*Calculator!$B$11,Calculator!$B$12)</f>
        <v>39270</v>
      </c>
      <c r="J146" s="11" t="n">
        <f aca="false">MAX(H146,0)-I146</f>
        <v>294230</v>
      </c>
      <c r="K146" s="11" t="n">
        <f aca="false">MIN(IF(A146&gt;0,Calculator!$B$13,0)+E146+Calculator!$B$14,'Tax Tables'!$B$36)</f>
        <v>1000</v>
      </c>
      <c r="L146" s="11" t="n">
        <f aca="false">MAX(A146-K146,0)</f>
        <v>65500</v>
      </c>
      <c r="M146" s="11" t="n">
        <f aca="false">SUMPRODUCT((L146&gt;'Tax Tables'!$A$5:$A$17)*(L146-'Tax Tables'!$A$5:$A$17)*'Tax Tables'!$C$5:$C$17)</f>
        <v>2335</v>
      </c>
      <c r="N146" s="11" t="n">
        <f aca="false">IF(H146&lt;0,-1E+099,A146-E146-M146+J146+(E146+F146)*Calculator!$B$9)</f>
        <v>358395</v>
      </c>
      <c r="O146" s="2"/>
      <c r="P146" s="11" t="n">
        <f aca="false">133*$B$3</f>
        <v>66500</v>
      </c>
      <c r="Q146" s="11" t="n">
        <f aca="false">MIN(P146,'Tax Tables'!$B$31*'Tax Tables'!$B$32)</f>
        <v>66500</v>
      </c>
      <c r="R146" s="11" t="n">
        <f aca="false">P146-Q146</f>
        <v>0</v>
      </c>
      <c r="S146" s="11" t="n">
        <f aca="false">IF(Calculator!$B$6="Yes",MIN(Q146,'Tax Tables'!$B$31*'Tax Tables'!$B$32),0)</f>
        <v>66500</v>
      </c>
      <c r="T146" s="11" t="n">
        <f aca="false">S146*Calculator!$B$7</f>
        <v>13300</v>
      </c>
      <c r="U146" s="11" t="n">
        <f aca="false">S146*Calculator!$B$8</f>
        <v>11305</v>
      </c>
      <c r="V146" s="11" t="n">
        <f aca="false">IF(Q146&gt;0,'Tax Tables'!$B$32*MIN(MAX(Q146/'Tax Tables'!$B$32*'Tax Tables'!$B$33,'Tax Tables'!$B$34),'Tax Tables'!$B$35),0)</f>
        <v>135</v>
      </c>
      <c r="W146" s="11" t="n">
        <f aca="false">Calculator!$B$5-P146-U146-V146</f>
        <v>322060</v>
      </c>
      <c r="X146" s="11" t="n">
        <f aca="false">'Tax Tables'!$B$22*(MAX(W146,0)-IF(Calculator!$B$10="Yes",MIN(MAX(W146,0),'Tax Tables'!$B$27)*'Tax Tables'!$B$28+MIN(MAX(MAX(W146,0)-'Tax Tables'!$B$27,0),'Tax Tables'!$B$29)*'Tax Tables'!$B$30,MIN(MAX(W146,0),'Tax Tables'!$B$23)*'Tax Tables'!$B$24+MIN(MAX(MAX(W146,0)-'Tax Tables'!$B$23,0),'Tax Tables'!$B$25)*'Tax Tables'!$B$26))*1-MIN('Tax Tables'!$B$22*(MAX(W146,0)-IF(Calculator!$B$10="Yes",MIN(MAX(W146,0),'Tax Tables'!$B$27)*'Tax Tables'!$B$28+MIN(MAX(MAX(W146,0)-'Tax Tables'!$B$27,0),'Tax Tables'!$B$29)*'Tax Tables'!$B$30,MIN(MAX(W146,0),'Tax Tables'!$B$23)*'Tax Tables'!$B$24+MIN(MAX(MAX(W146,0)-'Tax Tables'!$B$23,0),'Tax Tables'!$B$25)*'Tax Tables'!$B$26))*Calculator!$B$11,Calculator!$B$12)</f>
        <v>37325.2</v>
      </c>
      <c r="Y146" s="11" t="n">
        <f aca="false">MAX(W146,0)-X146</f>
        <v>284734.8</v>
      </c>
      <c r="Z146" s="11" t="n">
        <f aca="false">MIN(IF(P146&gt;0,Calculator!$B$13,0)+T146+Calculator!$B$14,'Tax Tables'!$B$36)</f>
        <v>14300</v>
      </c>
      <c r="AA146" s="11" t="n">
        <f aca="false">MAX(P146-Z146,0)</f>
        <v>52200</v>
      </c>
      <c r="AB146" s="11" t="n">
        <f aca="false">SUMPRODUCT((AA146&gt;'Tax Tables'!$A$5:$A$17)*(AA146-'Tax Tables'!$A$5:$A$17)*'Tax Tables'!$C$5:$C$17)</f>
        <v>1404</v>
      </c>
      <c r="AC146" s="11" t="n">
        <f aca="false">IF(W146&lt;0,-1E+099,P146-T146-AB146+Y146+(T146+U146)*Calculator!$B$9)</f>
        <v>361135.8</v>
      </c>
    </row>
    <row r="147" customFormat="false" ht="15" hidden="false" customHeight="false" outlineLevel="0" collapsed="false">
      <c r="A147" s="11" t="n">
        <f aca="false">134*$B$3</f>
        <v>67000</v>
      </c>
      <c r="B147" s="11" t="n">
        <f aca="false">0</f>
        <v>0</v>
      </c>
      <c r="C147" s="11" t="n">
        <f aca="false">A147-B147</f>
        <v>67000</v>
      </c>
      <c r="D147" s="11" t="n">
        <f aca="false">IF(Calculator!$B$6="Yes",MIN(B147,'Tax Tables'!$B$31*'Tax Tables'!$B$32),0)</f>
        <v>0</v>
      </c>
      <c r="E147" s="11" t="n">
        <f aca="false">D147*Calculator!$B$7</f>
        <v>0</v>
      </c>
      <c r="F147" s="11" t="n">
        <f aca="false">D147*Calculator!$B$8</f>
        <v>0</v>
      </c>
      <c r="G147" s="11" t="n">
        <f aca="false">IF(B147&gt;0,'Tax Tables'!$B$32*MIN(MAX(B147/'Tax Tables'!$B$32*'Tax Tables'!$B$33,'Tax Tables'!$B$34),'Tax Tables'!$B$35),0)</f>
        <v>0</v>
      </c>
      <c r="H147" s="11" t="n">
        <f aca="false">Calculator!$B$5-A147-F147-G147</f>
        <v>333000</v>
      </c>
      <c r="I147" s="11" t="n">
        <f aca="false">'Tax Tables'!$B$22*(MAX(H147,0)-IF(Calculator!$B$10="Yes",MIN(MAX(H147,0),'Tax Tables'!$B$27)*'Tax Tables'!$B$28+MIN(MAX(MAX(H147,0)-'Tax Tables'!$B$27,0),'Tax Tables'!$B$29)*'Tax Tables'!$B$30,MIN(MAX(H147,0),'Tax Tables'!$B$23)*'Tax Tables'!$B$24+MIN(MAX(MAX(H147,0)-'Tax Tables'!$B$23,0),'Tax Tables'!$B$25)*'Tax Tables'!$B$26))*1-MIN('Tax Tables'!$B$22*(MAX(H147,0)-IF(Calculator!$B$10="Yes",MIN(MAX(H147,0),'Tax Tables'!$B$27)*'Tax Tables'!$B$28+MIN(MAX(MAX(H147,0)-'Tax Tables'!$B$27,0),'Tax Tables'!$B$29)*'Tax Tables'!$B$30,MIN(MAX(H147,0),'Tax Tables'!$B$23)*'Tax Tables'!$B$24+MIN(MAX(MAX(H147,0)-'Tax Tables'!$B$23,0),'Tax Tables'!$B$25)*'Tax Tables'!$B$26))*Calculator!$B$11,Calculator!$B$12)</f>
        <v>39185</v>
      </c>
      <c r="J147" s="11" t="n">
        <f aca="false">MAX(H147,0)-I147</f>
        <v>293815</v>
      </c>
      <c r="K147" s="11" t="n">
        <f aca="false">MIN(IF(A147&gt;0,Calculator!$B$13,0)+E147+Calculator!$B$14,'Tax Tables'!$B$36)</f>
        <v>1000</v>
      </c>
      <c r="L147" s="11" t="n">
        <f aca="false">MAX(A147-K147,0)</f>
        <v>66000</v>
      </c>
      <c r="M147" s="11" t="n">
        <f aca="false">SUMPRODUCT((L147&gt;'Tax Tables'!$A$5:$A$17)*(L147-'Tax Tables'!$A$5:$A$17)*'Tax Tables'!$C$5:$C$17)</f>
        <v>2370</v>
      </c>
      <c r="N147" s="11" t="n">
        <f aca="false">IF(H147&lt;0,-1E+099,A147-E147-M147+J147+(E147+F147)*Calculator!$B$9)</f>
        <v>358445</v>
      </c>
      <c r="O147" s="2"/>
      <c r="P147" s="11" t="n">
        <f aca="false">134*$B$3</f>
        <v>67000</v>
      </c>
      <c r="Q147" s="11" t="n">
        <f aca="false">MIN(P147,'Tax Tables'!$B$31*'Tax Tables'!$B$32)</f>
        <v>67000</v>
      </c>
      <c r="R147" s="11" t="n">
        <f aca="false">P147-Q147</f>
        <v>0</v>
      </c>
      <c r="S147" s="11" t="n">
        <f aca="false">IF(Calculator!$B$6="Yes",MIN(Q147,'Tax Tables'!$B$31*'Tax Tables'!$B$32),0)</f>
        <v>67000</v>
      </c>
      <c r="T147" s="11" t="n">
        <f aca="false">S147*Calculator!$B$7</f>
        <v>13400</v>
      </c>
      <c r="U147" s="11" t="n">
        <f aca="false">S147*Calculator!$B$8</f>
        <v>11390</v>
      </c>
      <c r="V147" s="11" t="n">
        <f aca="false">IF(Q147&gt;0,'Tax Tables'!$B$32*MIN(MAX(Q147/'Tax Tables'!$B$32*'Tax Tables'!$B$33,'Tax Tables'!$B$34),'Tax Tables'!$B$35),0)</f>
        <v>135</v>
      </c>
      <c r="W147" s="11" t="n">
        <f aca="false">Calculator!$B$5-P147-U147-V147</f>
        <v>321475</v>
      </c>
      <c r="X147" s="11" t="n">
        <f aca="false">'Tax Tables'!$B$22*(MAX(W147,0)-IF(Calculator!$B$10="Yes",MIN(MAX(W147,0),'Tax Tables'!$B$27)*'Tax Tables'!$B$28+MIN(MAX(MAX(W147,0)-'Tax Tables'!$B$27,0),'Tax Tables'!$B$29)*'Tax Tables'!$B$30,MIN(MAX(W147,0),'Tax Tables'!$B$23)*'Tax Tables'!$B$24+MIN(MAX(MAX(W147,0)-'Tax Tables'!$B$23,0),'Tax Tables'!$B$25)*'Tax Tables'!$B$26))*1-MIN('Tax Tables'!$B$22*(MAX(W147,0)-IF(Calculator!$B$10="Yes",MIN(MAX(W147,0),'Tax Tables'!$B$27)*'Tax Tables'!$B$28+MIN(MAX(MAX(W147,0)-'Tax Tables'!$B$27,0),'Tax Tables'!$B$29)*'Tax Tables'!$B$30,MIN(MAX(W147,0),'Tax Tables'!$B$23)*'Tax Tables'!$B$24+MIN(MAX(MAX(W147,0)-'Tax Tables'!$B$23,0),'Tax Tables'!$B$25)*'Tax Tables'!$B$26))*Calculator!$B$11,Calculator!$B$12)</f>
        <v>37225.75</v>
      </c>
      <c r="Y147" s="11" t="n">
        <f aca="false">MAX(W147,0)-X147</f>
        <v>284249.25</v>
      </c>
      <c r="Z147" s="11" t="n">
        <f aca="false">MIN(IF(P147&gt;0,Calculator!$B$13,0)+T147+Calculator!$B$14,'Tax Tables'!$B$36)</f>
        <v>14400</v>
      </c>
      <c r="AA147" s="11" t="n">
        <f aca="false">MAX(P147-Z147,0)</f>
        <v>52600</v>
      </c>
      <c r="AB147" s="11" t="n">
        <f aca="false">SUMPRODUCT((AA147&gt;'Tax Tables'!$A$5:$A$17)*(AA147-'Tax Tables'!$A$5:$A$17)*'Tax Tables'!$C$5:$C$17)</f>
        <v>1432</v>
      </c>
      <c r="AC147" s="11" t="n">
        <f aca="false">IF(W147&lt;0,-1E+099,P147-T147-AB147+Y147+(T147+U147)*Calculator!$B$9)</f>
        <v>361207.25</v>
      </c>
    </row>
    <row r="148" customFormat="false" ht="15" hidden="false" customHeight="false" outlineLevel="0" collapsed="false">
      <c r="A148" s="11" t="n">
        <f aca="false">135*$B$3</f>
        <v>67500</v>
      </c>
      <c r="B148" s="11" t="n">
        <f aca="false">0</f>
        <v>0</v>
      </c>
      <c r="C148" s="11" t="n">
        <f aca="false">A148-B148</f>
        <v>67500</v>
      </c>
      <c r="D148" s="11" t="n">
        <f aca="false">IF(Calculator!$B$6="Yes",MIN(B148,'Tax Tables'!$B$31*'Tax Tables'!$B$32),0)</f>
        <v>0</v>
      </c>
      <c r="E148" s="11" t="n">
        <f aca="false">D148*Calculator!$B$7</f>
        <v>0</v>
      </c>
      <c r="F148" s="11" t="n">
        <f aca="false">D148*Calculator!$B$8</f>
        <v>0</v>
      </c>
      <c r="G148" s="11" t="n">
        <f aca="false">IF(B148&gt;0,'Tax Tables'!$B$32*MIN(MAX(B148/'Tax Tables'!$B$32*'Tax Tables'!$B$33,'Tax Tables'!$B$34),'Tax Tables'!$B$35),0)</f>
        <v>0</v>
      </c>
      <c r="H148" s="11" t="n">
        <f aca="false">Calculator!$B$5-A148-F148-G148</f>
        <v>332500</v>
      </c>
      <c r="I148" s="11" t="n">
        <f aca="false">'Tax Tables'!$B$22*(MAX(H148,0)-IF(Calculator!$B$10="Yes",MIN(MAX(H148,0),'Tax Tables'!$B$27)*'Tax Tables'!$B$28+MIN(MAX(MAX(H148,0)-'Tax Tables'!$B$27,0),'Tax Tables'!$B$29)*'Tax Tables'!$B$30,MIN(MAX(H148,0),'Tax Tables'!$B$23)*'Tax Tables'!$B$24+MIN(MAX(MAX(H148,0)-'Tax Tables'!$B$23,0),'Tax Tables'!$B$25)*'Tax Tables'!$B$26))*1-MIN('Tax Tables'!$B$22*(MAX(H148,0)-IF(Calculator!$B$10="Yes",MIN(MAX(H148,0),'Tax Tables'!$B$27)*'Tax Tables'!$B$28+MIN(MAX(MAX(H148,0)-'Tax Tables'!$B$27,0),'Tax Tables'!$B$29)*'Tax Tables'!$B$30,MIN(MAX(H148,0),'Tax Tables'!$B$23)*'Tax Tables'!$B$24+MIN(MAX(MAX(H148,0)-'Tax Tables'!$B$23,0),'Tax Tables'!$B$25)*'Tax Tables'!$B$26))*Calculator!$B$11,Calculator!$B$12)</f>
        <v>39100</v>
      </c>
      <c r="J148" s="11" t="n">
        <f aca="false">MAX(H148,0)-I148</f>
        <v>293400</v>
      </c>
      <c r="K148" s="11" t="n">
        <f aca="false">MIN(IF(A148&gt;0,Calculator!$B$13,0)+E148+Calculator!$B$14,'Tax Tables'!$B$36)</f>
        <v>1000</v>
      </c>
      <c r="L148" s="11" t="n">
        <f aca="false">MAX(A148-K148,0)</f>
        <v>66500</v>
      </c>
      <c r="M148" s="11" t="n">
        <f aca="false">SUMPRODUCT((L148&gt;'Tax Tables'!$A$5:$A$17)*(L148-'Tax Tables'!$A$5:$A$17)*'Tax Tables'!$C$5:$C$17)</f>
        <v>2405</v>
      </c>
      <c r="N148" s="11" t="n">
        <f aca="false">IF(H148&lt;0,-1E+099,A148-E148-M148+J148+(E148+F148)*Calculator!$B$9)</f>
        <v>358495</v>
      </c>
      <c r="O148" s="2"/>
      <c r="P148" s="11" t="n">
        <f aca="false">135*$B$3</f>
        <v>67500</v>
      </c>
      <c r="Q148" s="11" t="n">
        <f aca="false">MIN(P148,'Tax Tables'!$B$31*'Tax Tables'!$B$32)</f>
        <v>67500</v>
      </c>
      <c r="R148" s="11" t="n">
        <f aca="false">P148-Q148</f>
        <v>0</v>
      </c>
      <c r="S148" s="11" t="n">
        <f aca="false">IF(Calculator!$B$6="Yes",MIN(Q148,'Tax Tables'!$B$31*'Tax Tables'!$B$32),0)</f>
        <v>67500</v>
      </c>
      <c r="T148" s="11" t="n">
        <f aca="false">S148*Calculator!$B$7</f>
        <v>13500</v>
      </c>
      <c r="U148" s="11" t="n">
        <f aca="false">S148*Calculator!$B$8</f>
        <v>11475</v>
      </c>
      <c r="V148" s="11" t="n">
        <f aca="false">IF(Q148&gt;0,'Tax Tables'!$B$32*MIN(MAX(Q148/'Tax Tables'!$B$32*'Tax Tables'!$B$33,'Tax Tables'!$B$34),'Tax Tables'!$B$35),0)</f>
        <v>135</v>
      </c>
      <c r="W148" s="11" t="n">
        <f aca="false">Calculator!$B$5-P148-U148-V148</f>
        <v>320890</v>
      </c>
      <c r="X148" s="11" t="n">
        <f aca="false">'Tax Tables'!$B$22*(MAX(W148,0)-IF(Calculator!$B$10="Yes",MIN(MAX(W148,0),'Tax Tables'!$B$27)*'Tax Tables'!$B$28+MIN(MAX(MAX(W148,0)-'Tax Tables'!$B$27,0),'Tax Tables'!$B$29)*'Tax Tables'!$B$30,MIN(MAX(W148,0),'Tax Tables'!$B$23)*'Tax Tables'!$B$24+MIN(MAX(MAX(W148,0)-'Tax Tables'!$B$23,0),'Tax Tables'!$B$25)*'Tax Tables'!$B$26))*1-MIN('Tax Tables'!$B$22*(MAX(W148,0)-IF(Calculator!$B$10="Yes",MIN(MAX(W148,0),'Tax Tables'!$B$27)*'Tax Tables'!$B$28+MIN(MAX(MAX(W148,0)-'Tax Tables'!$B$27,0),'Tax Tables'!$B$29)*'Tax Tables'!$B$30,MIN(MAX(W148,0),'Tax Tables'!$B$23)*'Tax Tables'!$B$24+MIN(MAX(MAX(W148,0)-'Tax Tables'!$B$23,0),'Tax Tables'!$B$25)*'Tax Tables'!$B$26))*Calculator!$B$11,Calculator!$B$12)</f>
        <v>37126.3</v>
      </c>
      <c r="Y148" s="11" t="n">
        <f aca="false">MAX(W148,0)-X148</f>
        <v>283763.7</v>
      </c>
      <c r="Z148" s="11" t="n">
        <f aca="false">MIN(IF(P148&gt;0,Calculator!$B$13,0)+T148+Calculator!$B$14,'Tax Tables'!$B$36)</f>
        <v>14500</v>
      </c>
      <c r="AA148" s="11" t="n">
        <f aca="false">MAX(P148-Z148,0)</f>
        <v>53000</v>
      </c>
      <c r="AB148" s="11" t="n">
        <f aca="false">SUMPRODUCT((AA148&gt;'Tax Tables'!$A$5:$A$17)*(AA148-'Tax Tables'!$A$5:$A$17)*'Tax Tables'!$C$5:$C$17)</f>
        <v>1460</v>
      </c>
      <c r="AC148" s="11" t="n">
        <f aca="false">IF(W148&lt;0,-1E+099,P148-T148-AB148+Y148+(T148+U148)*Calculator!$B$9)</f>
        <v>361278.7</v>
      </c>
    </row>
    <row r="149" customFormat="false" ht="15" hidden="false" customHeight="false" outlineLevel="0" collapsed="false">
      <c r="A149" s="11" t="n">
        <f aca="false">136*$B$3</f>
        <v>68000</v>
      </c>
      <c r="B149" s="11" t="n">
        <f aca="false">0</f>
        <v>0</v>
      </c>
      <c r="C149" s="11" t="n">
        <f aca="false">A149-B149</f>
        <v>68000</v>
      </c>
      <c r="D149" s="11" t="n">
        <f aca="false">IF(Calculator!$B$6="Yes",MIN(B149,'Tax Tables'!$B$31*'Tax Tables'!$B$32),0)</f>
        <v>0</v>
      </c>
      <c r="E149" s="11" t="n">
        <f aca="false">D149*Calculator!$B$7</f>
        <v>0</v>
      </c>
      <c r="F149" s="11" t="n">
        <f aca="false">D149*Calculator!$B$8</f>
        <v>0</v>
      </c>
      <c r="G149" s="11" t="n">
        <f aca="false">IF(B149&gt;0,'Tax Tables'!$B$32*MIN(MAX(B149/'Tax Tables'!$B$32*'Tax Tables'!$B$33,'Tax Tables'!$B$34),'Tax Tables'!$B$35),0)</f>
        <v>0</v>
      </c>
      <c r="H149" s="11" t="n">
        <f aca="false">Calculator!$B$5-A149-F149-G149</f>
        <v>332000</v>
      </c>
      <c r="I149" s="11" t="n">
        <f aca="false">'Tax Tables'!$B$22*(MAX(H149,0)-IF(Calculator!$B$10="Yes",MIN(MAX(H149,0),'Tax Tables'!$B$27)*'Tax Tables'!$B$28+MIN(MAX(MAX(H149,0)-'Tax Tables'!$B$27,0),'Tax Tables'!$B$29)*'Tax Tables'!$B$30,MIN(MAX(H149,0),'Tax Tables'!$B$23)*'Tax Tables'!$B$24+MIN(MAX(MAX(H149,0)-'Tax Tables'!$B$23,0),'Tax Tables'!$B$25)*'Tax Tables'!$B$26))*1-MIN('Tax Tables'!$B$22*(MAX(H149,0)-IF(Calculator!$B$10="Yes",MIN(MAX(H149,0),'Tax Tables'!$B$27)*'Tax Tables'!$B$28+MIN(MAX(MAX(H149,0)-'Tax Tables'!$B$27,0),'Tax Tables'!$B$29)*'Tax Tables'!$B$30,MIN(MAX(H149,0),'Tax Tables'!$B$23)*'Tax Tables'!$B$24+MIN(MAX(MAX(H149,0)-'Tax Tables'!$B$23,0),'Tax Tables'!$B$25)*'Tax Tables'!$B$26))*Calculator!$B$11,Calculator!$B$12)</f>
        <v>39015</v>
      </c>
      <c r="J149" s="11" t="n">
        <f aca="false">MAX(H149,0)-I149</f>
        <v>292985</v>
      </c>
      <c r="K149" s="11" t="n">
        <f aca="false">MIN(IF(A149&gt;0,Calculator!$B$13,0)+E149+Calculator!$B$14,'Tax Tables'!$B$36)</f>
        <v>1000</v>
      </c>
      <c r="L149" s="11" t="n">
        <f aca="false">MAX(A149-K149,0)</f>
        <v>67000</v>
      </c>
      <c r="M149" s="11" t="n">
        <f aca="false">SUMPRODUCT((L149&gt;'Tax Tables'!$A$5:$A$17)*(L149-'Tax Tables'!$A$5:$A$17)*'Tax Tables'!$C$5:$C$17)</f>
        <v>2440</v>
      </c>
      <c r="N149" s="11" t="n">
        <f aca="false">IF(H149&lt;0,-1E+099,A149-E149-M149+J149+(E149+F149)*Calculator!$B$9)</f>
        <v>358545</v>
      </c>
      <c r="O149" s="2"/>
      <c r="P149" s="11" t="n">
        <f aca="false">136*$B$3</f>
        <v>68000</v>
      </c>
      <c r="Q149" s="11" t="n">
        <f aca="false">MIN(P149,'Tax Tables'!$B$31*'Tax Tables'!$B$32)</f>
        <v>68000</v>
      </c>
      <c r="R149" s="11" t="n">
        <f aca="false">P149-Q149</f>
        <v>0</v>
      </c>
      <c r="S149" s="11" t="n">
        <f aca="false">IF(Calculator!$B$6="Yes",MIN(Q149,'Tax Tables'!$B$31*'Tax Tables'!$B$32),0)</f>
        <v>68000</v>
      </c>
      <c r="T149" s="11" t="n">
        <f aca="false">S149*Calculator!$B$7</f>
        <v>13600</v>
      </c>
      <c r="U149" s="11" t="n">
        <f aca="false">S149*Calculator!$B$8</f>
        <v>11560</v>
      </c>
      <c r="V149" s="11" t="n">
        <f aca="false">IF(Q149&gt;0,'Tax Tables'!$B$32*MIN(MAX(Q149/'Tax Tables'!$B$32*'Tax Tables'!$B$33,'Tax Tables'!$B$34),'Tax Tables'!$B$35),0)</f>
        <v>135</v>
      </c>
      <c r="W149" s="11" t="n">
        <f aca="false">Calculator!$B$5-P149-U149-V149</f>
        <v>320305</v>
      </c>
      <c r="X149" s="11" t="n">
        <f aca="false">'Tax Tables'!$B$22*(MAX(W149,0)-IF(Calculator!$B$10="Yes",MIN(MAX(W149,0),'Tax Tables'!$B$27)*'Tax Tables'!$B$28+MIN(MAX(MAX(W149,0)-'Tax Tables'!$B$27,0),'Tax Tables'!$B$29)*'Tax Tables'!$B$30,MIN(MAX(W149,0),'Tax Tables'!$B$23)*'Tax Tables'!$B$24+MIN(MAX(MAX(W149,0)-'Tax Tables'!$B$23,0),'Tax Tables'!$B$25)*'Tax Tables'!$B$26))*1-MIN('Tax Tables'!$B$22*(MAX(W149,0)-IF(Calculator!$B$10="Yes",MIN(MAX(W149,0),'Tax Tables'!$B$27)*'Tax Tables'!$B$28+MIN(MAX(MAX(W149,0)-'Tax Tables'!$B$27,0),'Tax Tables'!$B$29)*'Tax Tables'!$B$30,MIN(MAX(W149,0),'Tax Tables'!$B$23)*'Tax Tables'!$B$24+MIN(MAX(MAX(W149,0)-'Tax Tables'!$B$23,0),'Tax Tables'!$B$25)*'Tax Tables'!$B$26))*Calculator!$B$11,Calculator!$B$12)</f>
        <v>37026.85</v>
      </c>
      <c r="Y149" s="11" t="n">
        <f aca="false">MAX(W149,0)-X149</f>
        <v>283278.15</v>
      </c>
      <c r="Z149" s="11" t="n">
        <f aca="false">MIN(IF(P149&gt;0,Calculator!$B$13,0)+T149+Calculator!$B$14,'Tax Tables'!$B$36)</f>
        <v>14600</v>
      </c>
      <c r="AA149" s="11" t="n">
        <f aca="false">MAX(P149-Z149,0)</f>
        <v>53400</v>
      </c>
      <c r="AB149" s="11" t="n">
        <f aca="false">SUMPRODUCT((AA149&gt;'Tax Tables'!$A$5:$A$17)*(AA149-'Tax Tables'!$A$5:$A$17)*'Tax Tables'!$C$5:$C$17)</f>
        <v>1488</v>
      </c>
      <c r="AC149" s="11" t="n">
        <f aca="false">IF(W149&lt;0,-1E+099,P149-T149-AB149+Y149+(T149+U149)*Calculator!$B$9)</f>
        <v>361350.15</v>
      </c>
    </row>
    <row r="150" customFormat="false" ht="15" hidden="false" customHeight="false" outlineLevel="0" collapsed="false">
      <c r="A150" s="11" t="n">
        <f aca="false">137*$B$3</f>
        <v>68500</v>
      </c>
      <c r="B150" s="11" t="n">
        <f aca="false">0</f>
        <v>0</v>
      </c>
      <c r="C150" s="11" t="n">
        <f aca="false">A150-B150</f>
        <v>68500</v>
      </c>
      <c r="D150" s="11" t="n">
        <f aca="false">IF(Calculator!$B$6="Yes",MIN(B150,'Tax Tables'!$B$31*'Tax Tables'!$B$32),0)</f>
        <v>0</v>
      </c>
      <c r="E150" s="11" t="n">
        <f aca="false">D150*Calculator!$B$7</f>
        <v>0</v>
      </c>
      <c r="F150" s="11" t="n">
        <f aca="false">D150*Calculator!$B$8</f>
        <v>0</v>
      </c>
      <c r="G150" s="11" t="n">
        <f aca="false">IF(B150&gt;0,'Tax Tables'!$B$32*MIN(MAX(B150/'Tax Tables'!$B$32*'Tax Tables'!$B$33,'Tax Tables'!$B$34),'Tax Tables'!$B$35),0)</f>
        <v>0</v>
      </c>
      <c r="H150" s="11" t="n">
        <f aca="false">Calculator!$B$5-A150-F150-G150</f>
        <v>331500</v>
      </c>
      <c r="I150" s="11" t="n">
        <f aca="false">'Tax Tables'!$B$22*(MAX(H150,0)-IF(Calculator!$B$10="Yes",MIN(MAX(H150,0),'Tax Tables'!$B$27)*'Tax Tables'!$B$28+MIN(MAX(MAX(H150,0)-'Tax Tables'!$B$27,0),'Tax Tables'!$B$29)*'Tax Tables'!$B$30,MIN(MAX(H150,0),'Tax Tables'!$B$23)*'Tax Tables'!$B$24+MIN(MAX(MAX(H150,0)-'Tax Tables'!$B$23,0),'Tax Tables'!$B$25)*'Tax Tables'!$B$26))*1-MIN('Tax Tables'!$B$22*(MAX(H150,0)-IF(Calculator!$B$10="Yes",MIN(MAX(H150,0),'Tax Tables'!$B$27)*'Tax Tables'!$B$28+MIN(MAX(MAX(H150,0)-'Tax Tables'!$B$27,0),'Tax Tables'!$B$29)*'Tax Tables'!$B$30,MIN(MAX(H150,0),'Tax Tables'!$B$23)*'Tax Tables'!$B$24+MIN(MAX(MAX(H150,0)-'Tax Tables'!$B$23,0),'Tax Tables'!$B$25)*'Tax Tables'!$B$26))*Calculator!$B$11,Calculator!$B$12)</f>
        <v>38930</v>
      </c>
      <c r="J150" s="11" t="n">
        <f aca="false">MAX(H150,0)-I150</f>
        <v>292570</v>
      </c>
      <c r="K150" s="11" t="n">
        <f aca="false">MIN(IF(A150&gt;0,Calculator!$B$13,0)+E150+Calculator!$B$14,'Tax Tables'!$B$36)</f>
        <v>1000</v>
      </c>
      <c r="L150" s="11" t="n">
        <f aca="false">MAX(A150-K150,0)</f>
        <v>67500</v>
      </c>
      <c r="M150" s="11" t="n">
        <f aca="false">SUMPRODUCT((L150&gt;'Tax Tables'!$A$5:$A$17)*(L150-'Tax Tables'!$A$5:$A$17)*'Tax Tables'!$C$5:$C$17)</f>
        <v>2475</v>
      </c>
      <c r="N150" s="11" t="n">
        <f aca="false">IF(H150&lt;0,-1E+099,A150-E150-M150+J150+(E150+F150)*Calculator!$B$9)</f>
        <v>358595</v>
      </c>
      <c r="O150" s="2"/>
      <c r="P150" s="11" t="n">
        <f aca="false">137*$B$3</f>
        <v>68500</v>
      </c>
      <c r="Q150" s="11" t="n">
        <f aca="false">MIN(P150,'Tax Tables'!$B$31*'Tax Tables'!$B$32)</f>
        <v>68500</v>
      </c>
      <c r="R150" s="11" t="n">
        <f aca="false">P150-Q150</f>
        <v>0</v>
      </c>
      <c r="S150" s="11" t="n">
        <f aca="false">IF(Calculator!$B$6="Yes",MIN(Q150,'Tax Tables'!$B$31*'Tax Tables'!$B$32),0)</f>
        <v>68500</v>
      </c>
      <c r="T150" s="11" t="n">
        <f aca="false">S150*Calculator!$B$7</f>
        <v>13700</v>
      </c>
      <c r="U150" s="11" t="n">
        <f aca="false">S150*Calculator!$B$8</f>
        <v>11645</v>
      </c>
      <c r="V150" s="11" t="n">
        <f aca="false">IF(Q150&gt;0,'Tax Tables'!$B$32*MIN(MAX(Q150/'Tax Tables'!$B$32*'Tax Tables'!$B$33,'Tax Tables'!$B$34),'Tax Tables'!$B$35),0)</f>
        <v>135</v>
      </c>
      <c r="W150" s="11" t="n">
        <f aca="false">Calculator!$B$5-P150-U150-V150</f>
        <v>319720</v>
      </c>
      <c r="X150" s="11" t="n">
        <f aca="false">'Tax Tables'!$B$22*(MAX(W150,0)-IF(Calculator!$B$10="Yes",MIN(MAX(W150,0),'Tax Tables'!$B$27)*'Tax Tables'!$B$28+MIN(MAX(MAX(W150,0)-'Tax Tables'!$B$27,0),'Tax Tables'!$B$29)*'Tax Tables'!$B$30,MIN(MAX(W150,0),'Tax Tables'!$B$23)*'Tax Tables'!$B$24+MIN(MAX(MAX(W150,0)-'Tax Tables'!$B$23,0),'Tax Tables'!$B$25)*'Tax Tables'!$B$26))*1-MIN('Tax Tables'!$B$22*(MAX(W150,0)-IF(Calculator!$B$10="Yes",MIN(MAX(W150,0),'Tax Tables'!$B$27)*'Tax Tables'!$B$28+MIN(MAX(MAX(W150,0)-'Tax Tables'!$B$27,0),'Tax Tables'!$B$29)*'Tax Tables'!$B$30,MIN(MAX(W150,0),'Tax Tables'!$B$23)*'Tax Tables'!$B$24+MIN(MAX(MAX(W150,0)-'Tax Tables'!$B$23,0),'Tax Tables'!$B$25)*'Tax Tables'!$B$26))*Calculator!$B$11,Calculator!$B$12)</f>
        <v>36927.4</v>
      </c>
      <c r="Y150" s="11" t="n">
        <f aca="false">MAX(W150,0)-X150</f>
        <v>282792.6</v>
      </c>
      <c r="Z150" s="11" t="n">
        <f aca="false">MIN(IF(P150&gt;0,Calculator!$B$13,0)+T150+Calculator!$B$14,'Tax Tables'!$B$36)</f>
        <v>14700</v>
      </c>
      <c r="AA150" s="11" t="n">
        <f aca="false">MAX(P150-Z150,0)</f>
        <v>53800</v>
      </c>
      <c r="AB150" s="11" t="n">
        <f aca="false">SUMPRODUCT((AA150&gt;'Tax Tables'!$A$5:$A$17)*(AA150-'Tax Tables'!$A$5:$A$17)*'Tax Tables'!$C$5:$C$17)</f>
        <v>1516</v>
      </c>
      <c r="AC150" s="11" t="n">
        <f aca="false">IF(W150&lt;0,-1E+099,P150-T150-AB150+Y150+(T150+U150)*Calculator!$B$9)</f>
        <v>361421.6</v>
      </c>
    </row>
    <row r="151" customFormat="false" ht="15" hidden="false" customHeight="false" outlineLevel="0" collapsed="false">
      <c r="A151" s="11" t="n">
        <f aca="false">138*$B$3</f>
        <v>69000</v>
      </c>
      <c r="B151" s="11" t="n">
        <f aca="false">0</f>
        <v>0</v>
      </c>
      <c r="C151" s="11" t="n">
        <f aca="false">A151-B151</f>
        <v>69000</v>
      </c>
      <c r="D151" s="11" t="n">
        <f aca="false">IF(Calculator!$B$6="Yes",MIN(B151,'Tax Tables'!$B$31*'Tax Tables'!$B$32),0)</f>
        <v>0</v>
      </c>
      <c r="E151" s="11" t="n">
        <f aca="false">D151*Calculator!$B$7</f>
        <v>0</v>
      </c>
      <c r="F151" s="11" t="n">
        <f aca="false">D151*Calculator!$B$8</f>
        <v>0</v>
      </c>
      <c r="G151" s="11" t="n">
        <f aca="false">IF(B151&gt;0,'Tax Tables'!$B$32*MIN(MAX(B151/'Tax Tables'!$B$32*'Tax Tables'!$B$33,'Tax Tables'!$B$34),'Tax Tables'!$B$35),0)</f>
        <v>0</v>
      </c>
      <c r="H151" s="11" t="n">
        <f aca="false">Calculator!$B$5-A151-F151-G151</f>
        <v>331000</v>
      </c>
      <c r="I151" s="11" t="n">
        <f aca="false">'Tax Tables'!$B$22*(MAX(H151,0)-IF(Calculator!$B$10="Yes",MIN(MAX(H151,0),'Tax Tables'!$B$27)*'Tax Tables'!$B$28+MIN(MAX(MAX(H151,0)-'Tax Tables'!$B$27,0),'Tax Tables'!$B$29)*'Tax Tables'!$B$30,MIN(MAX(H151,0),'Tax Tables'!$B$23)*'Tax Tables'!$B$24+MIN(MAX(MAX(H151,0)-'Tax Tables'!$B$23,0),'Tax Tables'!$B$25)*'Tax Tables'!$B$26))*1-MIN('Tax Tables'!$B$22*(MAX(H151,0)-IF(Calculator!$B$10="Yes",MIN(MAX(H151,0),'Tax Tables'!$B$27)*'Tax Tables'!$B$28+MIN(MAX(MAX(H151,0)-'Tax Tables'!$B$27,0),'Tax Tables'!$B$29)*'Tax Tables'!$B$30,MIN(MAX(H151,0),'Tax Tables'!$B$23)*'Tax Tables'!$B$24+MIN(MAX(MAX(H151,0)-'Tax Tables'!$B$23,0),'Tax Tables'!$B$25)*'Tax Tables'!$B$26))*Calculator!$B$11,Calculator!$B$12)</f>
        <v>38845</v>
      </c>
      <c r="J151" s="11" t="n">
        <f aca="false">MAX(H151,0)-I151</f>
        <v>292155</v>
      </c>
      <c r="K151" s="11" t="n">
        <f aca="false">MIN(IF(A151&gt;0,Calculator!$B$13,0)+E151+Calculator!$B$14,'Tax Tables'!$B$36)</f>
        <v>1000</v>
      </c>
      <c r="L151" s="11" t="n">
        <f aca="false">MAX(A151-K151,0)</f>
        <v>68000</v>
      </c>
      <c r="M151" s="11" t="n">
        <f aca="false">SUMPRODUCT((L151&gt;'Tax Tables'!$A$5:$A$17)*(L151-'Tax Tables'!$A$5:$A$17)*'Tax Tables'!$C$5:$C$17)</f>
        <v>2510</v>
      </c>
      <c r="N151" s="11" t="n">
        <f aca="false">IF(H151&lt;0,-1E+099,A151-E151-M151+J151+(E151+F151)*Calculator!$B$9)</f>
        <v>358645</v>
      </c>
      <c r="O151" s="2"/>
      <c r="P151" s="11" t="n">
        <f aca="false">138*$B$3</f>
        <v>69000</v>
      </c>
      <c r="Q151" s="11" t="n">
        <f aca="false">MIN(P151,'Tax Tables'!$B$31*'Tax Tables'!$B$32)</f>
        <v>69000</v>
      </c>
      <c r="R151" s="11" t="n">
        <f aca="false">P151-Q151</f>
        <v>0</v>
      </c>
      <c r="S151" s="11" t="n">
        <f aca="false">IF(Calculator!$B$6="Yes",MIN(Q151,'Tax Tables'!$B$31*'Tax Tables'!$B$32),0)</f>
        <v>69000</v>
      </c>
      <c r="T151" s="11" t="n">
        <f aca="false">S151*Calculator!$B$7</f>
        <v>13800</v>
      </c>
      <c r="U151" s="11" t="n">
        <f aca="false">S151*Calculator!$B$8</f>
        <v>11730</v>
      </c>
      <c r="V151" s="11" t="n">
        <f aca="false">IF(Q151&gt;0,'Tax Tables'!$B$32*MIN(MAX(Q151/'Tax Tables'!$B$32*'Tax Tables'!$B$33,'Tax Tables'!$B$34),'Tax Tables'!$B$35),0)</f>
        <v>135</v>
      </c>
      <c r="W151" s="11" t="n">
        <f aca="false">Calculator!$B$5-P151-U151-V151</f>
        <v>319135</v>
      </c>
      <c r="X151" s="11" t="n">
        <f aca="false">'Tax Tables'!$B$22*(MAX(W151,0)-IF(Calculator!$B$10="Yes",MIN(MAX(W151,0),'Tax Tables'!$B$27)*'Tax Tables'!$B$28+MIN(MAX(MAX(W151,0)-'Tax Tables'!$B$27,0),'Tax Tables'!$B$29)*'Tax Tables'!$B$30,MIN(MAX(W151,0),'Tax Tables'!$B$23)*'Tax Tables'!$B$24+MIN(MAX(MAX(W151,0)-'Tax Tables'!$B$23,0),'Tax Tables'!$B$25)*'Tax Tables'!$B$26))*1-MIN('Tax Tables'!$B$22*(MAX(W151,0)-IF(Calculator!$B$10="Yes",MIN(MAX(W151,0),'Tax Tables'!$B$27)*'Tax Tables'!$B$28+MIN(MAX(MAX(W151,0)-'Tax Tables'!$B$27,0),'Tax Tables'!$B$29)*'Tax Tables'!$B$30,MIN(MAX(W151,0),'Tax Tables'!$B$23)*'Tax Tables'!$B$24+MIN(MAX(MAX(W151,0)-'Tax Tables'!$B$23,0),'Tax Tables'!$B$25)*'Tax Tables'!$B$26))*Calculator!$B$11,Calculator!$B$12)</f>
        <v>36827.95</v>
      </c>
      <c r="Y151" s="11" t="n">
        <f aca="false">MAX(W151,0)-X151</f>
        <v>282307.05</v>
      </c>
      <c r="Z151" s="11" t="n">
        <f aca="false">MIN(IF(P151&gt;0,Calculator!$B$13,0)+T151+Calculator!$B$14,'Tax Tables'!$B$36)</f>
        <v>14800</v>
      </c>
      <c r="AA151" s="11" t="n">
        <f aca="false">MAX(P151-Z151,0)</f>
        <v>54200</v>
      </c>
      <c r="AB151" s="11" t="n">
        <f aca="false">SUMPRODUCT((AA151&gt;'Tax Tables'!$A$5:$A$17)*(AA151-'Tax Tables'!$A$5:$A$17)*'Tax Tables'!$C$5:$C$17)</f>
        <v>1544</v>
      </c>
      <c r="AC151" s="11" t="n">
        <f aca="false">IF(W151&lt;0,-1E+099,P151-T151-AB151+Y151+(T151+U151)*Calculator!$B$9)</f>
        <v>361493.05</v>
      </c>
    </row>
    <row r="152" customFormat="false" ht="15" hidden="false" customHeight="false" outlineLevel="0" collapsed="false">
      <c r="A152" s="11" t="n">
        <f aca="false">139*$B$3</f>
        <v>69500</v>
      </c>
      <c r="B152" s="11" t="n">
        <f aca="false">0</f>
        <v>0</v>
      </c>
      <c r="C152" s="11" t="n">
        <f aca="false">A152-B152</f>
        <v>69500</v>
      </c>
      <c r="D152" s="11" t="n">
        <f aca="false">IF(Calculator!$B$6="Yes",MIN(B152,'Tax Tables'!$B$31*'Tax Tables'!$B$32),0)</f>
        <v>0</v>
      </c>
      <c r="E152" s="11" t="n">
        <f aca="false">D152*Calculator!$B$7</f>
        <v>0</v>
      </c>
      <c r="F152" s="11" t="n">
        <f aca="false">D152*Calculator!$B$8</f>
        <v>0</v>
      </c>
      <c r="G152" s="11" t="n">
        <f aca="false">IF(B152&gt;0,'Tax Tables'!$B$32*MIN(MAX(B152/'Tax Tables'!$B$32*'Tax Tables'!$B$33,'Tax Tables'!$B$34),'Tax Tables'!$B$35),0)</f>
        <v>0</v>
      </c>
      <c r="H152" s="11" t="n">
        <f aca="false">Calculator!$B$5-A152-F152-G152</f>
        <v>330500</v>
      </c>
      <c r="I152" s="11" t="n">
        <f aca="false">'Tax Tables'!$B$22*(MAX(H152,0)-IF(Calculator!$B$10="Yes",MIN(MAX(H152,0),'Tax Tables'!$B$27)*'Tax Tables'!$B$28+MIN(MAX(MAX(H152,0)-'Tax Tables'!$B$27,0),'Tax Tables'!$B$29)*'Tax Tables'!$B$30,MIN(MAX(H152,0),'Tax Tables'!$B$23)*'Tax Tables'!$B$24+MIN(MAX(MAX(H152,0)-'Tax Tables'!$B$23,0),'Tax Tables'!$B$25)*'Tax Tables'!$B$26))*1-MIN('Tax Tables'!$B$22*(MAX(H152,0)-IF(Calculator!$B$10="Yes",MIN(MAX(H152,0),'Tax Tables'!$B$27)*'Tax Tables'!$B$28+MIN(MAX(MAX(H152,0)-'Tax Tables'!$B$27,0),'Tax Tables'!$B$29)*'Tax Tables'!$B$30,MIN(MAX(H152,0),'Tax Tables'!$B$23)*'Tax Tables'!$B$24+MIN(MAX(MAX(H152,0)-'Tax Tables'!$B$23,0),'Tax Tables'!$B$25)*'Tax Tables'!$B$26))*Calculator!$B$11,Calculator!$B$12)</f>
        <v>38760</v>
      </c>
      <c r="J152" s="11" t="n">
        <f aca="false">MAX(H152,0)-I152</f>
        <v>291740</v>
      </c>
      <c r="K152" s="11" t="n">
        <f aca="false">MIN(IF(A152&gt;0,Calculator!$B$13,0)+E152+Calculator!$B$14,'Tax Tables'!$B$36)</f>
        <v>1000</v>
      </c>
      <c r="L152" s="11" t="n">
        <f aca="false">MAX(A152-K152,0)</f>
        <v>68500</v>
      </c>
      <c r="M152" s="11" t="n">
        <f aca="false">SUMPRODUCT((L152&gt;'Tax Tables'!$A$5:$A$17)*(L152-'Tax Tables'!$A$5:$A$17)*'Tax Tables'!$C$5:$C$17)</f>
        <v>2545</v>
      </c>
      <c r="N152" s="11" t="n">
        <f aca="false">IF(H152&lt;0,-1E+099,A152-E152-M152+J152+(E152+F152)*Calculator!$B$9)</f>
        <v>358695</v>
      </c>
      <c r="O152" s="2"/>
      <c r="P152" s="11" t="n">
        <f aca="false">139*$B$3</f>
        <v>69500</v>
      </c>
      <c r="Q152" s="11" t="n">
        <f aca="false">MIN(P152,'Tax Tables'!$B$31*'Tax Tables'!$B$32)</f>
        <v>69500</v>
      </c>
      <c r="R152" s="11" t="n">
        <f aca="false">P152-Q152</f>
        <v>0</v>
      </c>
      <c r="S152" s="11" t="n">
        <f aca="false">IF(Calculator!$B$6="Yes",MIN(Q152,'Tax Tables'!$B$31*'Tax Tables'!$B$32),0)</f>
        <v>69500</v>
      </c>
      <c r="T152" s="11" t="n">
        <f aca="false">S152*Calculator!$B$7</f>
        <v>13900</v>
      </c>
      <c r="U152" s="11" t="n">
        <f aca="false">S152*Calculator!$B$8</f>
        <v>11815</v>
      </c>
      <c r="V152" s="11" t="n">
        <f aca="false">IF(Q152&gt;0,'Tax Tables'!$B$32*MIN(MAX(Q152/'Tax Tables'!$B$32*'Tax Tables'!$B$33,'Tax Tables'!$B$34),'Tax Tables'!$B$35),0)</f>
        <v>135</v>
      </c>
      <c r="W152" s="11" t="n">
        <f aca="false">Calculator!$B$5-P152-U152-V152</f>
        <v>318550</v>
      </c>
      <c r="X152" s="11" t="n">
        <f aca="false">'Tax Tables'!$B$22*(MAX(W152,0)-IF(Calculator!$B$10="Yes",MIN(MAX(W152,0),'Tax Tables'!$B$27)*'Tax Tables'!$B$28+MIN(MAX(MAX(W152,0)-'Tax Tables'!$B$27,0),'Tax Tables'!$B$29)*'Tax Tables'!$B$30,MIN(MAX(W152,0),'Tax Tables'!$B$23)*'Tax Tables'!$B$24+MIN(MAX(MAX(W152,0)-'Tax Tables'!$B$23,0),'Tax Tables'!$B$25)*'Tax Tables'!$B$26))*1-MIN('Tax Tables'!$B$22*(MAX(W152,0)-IF(Calculator!$B$10="Yes",MIN(MAX(W152,0),'Tax Tables'!$B$27)*'Tax Tables'!$B$28+MIN(MAX(MAX(W152,0)-'Tax Tables'!$B$27,0),'Tax Tables'!$B$29)*'Tax Tables'!$B$30,MIN(MAX(W152,0),'Tax Tables'!$B$23)*'Tax Tables'!$B$24+MIN(MAX(MAX(W152,0)-'Tax Tables'!$B$23,0),'Tax Tables'!$B$25)*'Tax Tables'!$B$26))*Calculator!$B$11,Calculator!$B$12)</f>
        <v>36728.5</v>
      </c>
      <c r="Y152" s="11" t="n">
        <f aca="false">MAX(W152,0)-X152</f>
        <v>281821.5</v>
      </c>
      <c r="Z152" s="11" t="n">
        <f aca="false">MIN(IF(P152&gt;0,Calculator!$B$13,0)+T152+Calculator!$B$14,'Tax Tables'!$B$36)</f>
        <v>14900</v>
      </c>
      <c r="AA152" s="11" t="n">
        <f aca="false">MAX(P152-Z152,0)</f>
        <v>54600</v>
      </c>
      <c r="AB152" s="11" t="n">
        <f aca="false">SUMPRODUCT((AA152&gt;'Tax Tables'!$A$5:$A$17)*(AA152-'Tax Tables'!$A$5:$A$17)*'Tax Tables'!$C$5:$C$17)</f>
        <v>1572</v>
      </c>
      <c r="AC152" s="11" t="n">
        <f aca="false">IF(W152&lt;0,-1E+099,P152-T152-AB152+Y152+(T152+U152)*Calculator!$B$9)</f>
        <v>361564.5</v>
      </c>
    </row>
    <row r="153" customFormat="false" ht="15" hidden="false" customHeight="false" outlineLevel="0" collapsed="false">
      <c r="A153" s="11" t="n">
        <f aca="false">140*$B$3</f>
        <v>70000</v>
      </c>
      <c r="B153" s="11" t="n">
        <f aca="false">0</f>
        <v>0</v>
      </c>
      <c r="C153" s="11" t="n">
        <f aca="false">A153-B153</f>
        <v>70000</v>
      </c>
      <c r="D153" s="11" t="n">
        <f aca="false">IF(Calculator!$B$6="Yes",MIN(B153,'Tax Tables'!$B$31*'Tax Tables'!$B$32),0)</f>
        <v>0</v>
      </c>
      <c r="E153" s="11" t="n">
        <f aca="false">D153*Calculator!$B$7</f>
        <v>0</v>
      </c>
      <c r="F153" s="11" t="n">
        <f aca="false">D153*Calculator!$B$8</f>
        <v>0</v>
      </c>
      <c r="G153" s="11" t="n">
        <f aca="false">IF(B153&gt;0,'Tax Tables'!$B$32*MIN(MAX(B153/'Tax Tables'!$B$32*'Tax Tables'!$B$33,'Tax Tables'!$B$34),'Tax Tables'!$B$35),0)</f>
        <v>0</v>
      </c>
      <c r="H153" s="11" t="n">
        <f aca="false">Calculator!$B$5-A153-F153-G153</f>
        <v>330000</v>
      </c>
      <c r="I153" s="11" t="n">
        <f aca="false">'Tax Tables'!$B$22*(MAX(H153,0)-IF(Calculator!$B$10="Yes",MIN(MAX(H153,0),'Tax Tables'!$B$27)*'Tax Tables'!$B$28+MIN(MAX(MAX(H153,0)-'Tax Tables'!$B$27,0),'Tax Tables'!$B$29)*'Tax Tables'!$B$30,MIN(MAX(H153,0),'Tax Tables'!$B$23)*'Tax Tables'!$B$24+MIN(MAX(MAX(H153,0)-'Tax Tables'!$B$23,0),'Tax Tables'!$B$25)*'Tax Tables'!$B$26))*1-MIN('Tax Tables'!$B$22*(MAX(H153,0)-IF(Calculator!$B$10="Yes",MIN(MAX(H153,0),'Tax Tables'!$B$27)*'Tax Tables'!$B$28+MIN(MAX(MAX(H153,0)-'Tax Tables'!$B$27,0),'Tax Tables'!$B$29)*'Tax Tables'!$B$30,MIN(MAX(H153,0),'Tax Tables'!$B$23)*'Tax Tables'!$B$24+MIN(MAX(MAX(H153,0)-'Tax Tables'!$B$23,0),'Tax Tables'!$B$25)*'Tax Tables'!$B$26))*Calculator!$B$11,Calculator!$B$12)</f>
        <v>38675</v>
      </c>
      <c r="J153" s="11" t="n">
        <f aca="false">MAX(H153,0)-I153</f>
        <v>291325</v>
      </c>
      <c r="K153" s="11" t="n">
        <f aca="false">MIN(IF(A153&gt;0,Calculator!$B$13,0)+E153+Calculator!$B$14,'Tax Tables'!$B$36)</f>
        <v>1000</v>
      </c>
      <c r="L153" s="11" t="n">
        <f aca="false">MAX(A153-K153,0)</f>
        <v>69000</v>
      </c>
      <c r="M153" s="11" t="n">
        <f aca="false">SUMPRODUCT((L153&gt;'Tax Tables'!$A$5:$A$17)*(L153-'Tax Tables'!$A$5:$A$17)*'Tax Tables'!$C$5:$C$17)</f>
        <v>2580</v>
      </c>
      <c r="N153" s="11" t="n">
        <f aca="false">IF(H153&lt;0,-1E+099,A153-E153-M153+J153+(E153+F153)*Calculator!$B$9)</f>
        <v>358745</v>
      </c>
      <c r="O153" s="2"/>
      <c r="P153" s="11" t="n">
        <f aca="false">140*$B$3</f>
        <v>70000</v>
      </c>
      <c r="Q153" s="11" t="n">
        <f aca="false">MIN(P153,'Tax Tables'!$B$31*'Tax Tables'!$B$32)</f>
        <v>70000</v>
      </c>
      <c r="R153" s="11" t="n">
        <f aca="false">P153-Q153</f>
        <v>0</v>
      </c>
      <c r="S153" s="11" t="n">
        <f aca="false">IF(Calculator!$B$6="Yes",MIN(Q153,'Tax Tables'!$B$31*'Tax Tables'!$B$32),0)</f>
        <v>70000</v>
      </c>
      <c r="T153" s="11" t="n">
        <f aca="false">S153*Calculator!$B$7</f>
        <v>14000</v>
      </c>
      <c r="U153" s="11" t="n">
        <f aca="false">S153*Calculator!$B$8</f>
        <v>11900</v>
      </c>
      <c r="V153" s="11" t="n">
        <f aca="false">IF(Q153&gt;0,'Tax Tables'!$B$32*MIN(MAX(Q153/'Tax Tables'!$B$32*'Tax Tables'!$B$33,'Tax Tables'!$B$34),'Tax Tables'!$B$35),0)</f>
        <v>135</v>
      </c>
      <c r="W153" s="11" t="n">
        <f aca="false">Calculator!$B$5-P153-U153-V153</f>
        <v>317965</v>
      </c>
      <c r="X153" s="11" t="n">
        <f aca="false">'Tax Tables'!$B$22*(MAX(W153,0)-IF(Calculator!$B$10="Yes",MIN(MAX(W153,0),'Tax Tables'!$B$27)*'Tax Tables'!$B$28+MIN(MAX(MAX(W153,0)-'Tax Tables'!$B$27,0),'Tax Tables'!$B$29)*'Tax Tables'!$B$30,MIN(MAX(W153,0),'Tax Tables'!$B$23)*'Tax Tables'!$B$24+MIN(MAX(MAX(W153,0)-'Tax Tables'!$B$23,0),'Tax Tables'!$B$25)*'Tax Tables'!$B$26))*1-MIN('Tax Tables'!$B$22*(MAX(W153,0)-IF(Calculator!$B$10="Yes",MIN(MAX(W153,0),'Tax Tables'!$B$27)*'Tax Tables'!$B$28+MIN(MAX(MAX(W153,0)-'Tax Tables'!$B$27,0),'Tax Tables'!$B$29)*'Tax Tables'!$B$30,MIN(MAX(W153,0),'Tax Tables'!$B$23)*'Tax Tables'!$B$24+MIN(MAX(MAX(W153,0)-'Tax Tables'!$B$23,0),'Tax Tables'!$B$25)*'Tax Tables'!$B$26))*Calculator!$B$11,Calculator!$B$12)</f>
        <v>36629.05</v>
      </c>
      <c r="Y153" s="11" t="n">
        <f aca="false">MAX(W153,0)-X153</f>
        <v>281335.95</v>
      </c>
      <c r="Z153" s="11" t="n">
        <f aca="false">MIN(IF(P153&gt;0,Calculator!$B$13,0)+T153+Calculator!$B$14,'Tax Tables'!$B$36)</f>
        <v>15000</v>
      </c>
      <c r="AA153" s="11" t="n">
        <f aca="false">MAX(P153-Z153,0)</f>
        <v>55000</v>
      </c>
      <c r="AB153" s="11" t="n">
        <f aca="false">SUMPRODUCT((AA153&gt;'Tax Tables'!$A$5:$A$17)*(AA153-'Tax Tables'!$A$5:$A$17)*'Tax Tables'!$C$5:$C$17)</f>
        <v>1600</v>
      </c>
      <c r="AC153" s="11" t="n">
        <f aca="false">IF(W153&lt;0,-1E+099,P153-T153-AB153+Y153+(T153+U153)*Calculator!$B$9)</f>
        <v>361635.95</v>
      </c>
    </row>
    <row r="154" customFormat="false" ht="15" hidden="false" customHeight="false" outlineLevel="0" collapsed="false">
      <c r="A154" s="11" t="n">
        <f aca="false">141*$B$3</f>
        <v>70500</v>
      </c>
      <c r="B154" s="11" t="n">
        <f aca="false">0</f>
        <v>0</v>
      </c>
      <c r="C154" s="11" t="n">
        <f aca="false">A154-B154</f>
        <v>70500</v>
      </c>
      <c r="D154" s="11" t="n">
        <f aca="false">IF(Calculator!$B$6="Yes",MIN(B154,'Tax Tables'!$B$31*'Tax Tables'!$B$32),0)</f>
        <v>0</v>
      </c>
      <c r="E154" s="11" t="n">
        <f aca="false">D154*Calculator!$B$7</f>
        <v>0</v>
      </c>
      <c r="F154" s="11" t="n">
        <f aca="false">D154*Calculator!$B$8</f>
        <v>0</v>
      </c>
      <c r="G154" s="11" t="n">
        <f aca="false">IF(B154&gt;0,'Tax Tables'!$B$32*MIN(MAX(B154/'Tax Tables'!$B$32*'Tax Tables'!$B$33,'Tax Tables'!$B$34),'Tax Tables'!$B$35),0)</f>
        <v>0</v>
      </c>
      <c r="H154" s="11" t="n">
        <f aca="false">Calculator!$B$5-A154-F154-G154</f>
        <v>329500</v>
      </c>
      <c r="I154" s="11" t="n">
        <f aca="false">'Tax Tables'!$B$22*(MAX(H154,0)-IF(Calculator!$B$10="Yes",MIN(MAX(H154,0),'Tax Tables'!$B$27)*'Tax Tables'!$B$28+MIN(MAX(MAX(H154,0)-'Tax Tables'!$B$27,0),'Tax Tables'!$B$29)*'Tax Tables'!$B$30,MIN(MAX(H154,0),'Tax Tables'!$B$23)*'Tax Tables'!$B$24+MIN(MAX(MAX(H154,0)-'Tax Tables'!$B$23,0),'Tax Tables'!$B$25)*'Tax Tables'!$B$26))*1-MIN('Tax Tables'!$B$22*(MAX(H154,0)-IF(Calculator!$B$10="Yes",MIN(MAX(H154,0),'Tax Tables'!$B$27)*'Tax Tables'!$B$28+MIN(MAX(MAX(H154,0)-'Tax Tables'!$B$27,0),'Tax Tables'!$B$29)*'Tax Tables'!$B$30,MIN(MAX(H154,0),'Tax Tables'!$B$23)*'Tax Tables'!$B$24+MIN(MAX(MAX(H154,0)-'Tax Tables'!$B$23,0),'Tax Tables'!$B$25)*'Tax Tables'!$B$26))*Calculator!$B$11,Calculator!$B$12)</f>
        <v>38590</v>
      </c>
      <c r="J154" s="11" t="n">
        <f aca="false">MAX(H154,0)-I154</f>
        <v>290910</v>
      </c>
      <c r="K154" s="11" t="n">
        <f aca="false">MIN(IF(A154&gt;0,Calculator!$B$13,0)+E154+Calculator!$B$14,'Tax Tables'!$B$36)</f>
        <v>1000</v>
      </c>
      <c r="L154" s="11" t="n">
        <f aca="false">MAX(A154-K154,0)</f>
        <v>69500</v>
      </c>
      <c r="M154" s="11" t="n">
        <f aca="false">SUMPRODUCT((L154&gt;'Tax Tables'!$A$5:$A$17)*(L154-'Tax Tables'!$A$5:$A$17)*'Tax Tables'!$C$5:$C$17)</f>
        <v>2615</v>
      </c>
      <c r="N154" s="11" t="n">
        <f aca="false">IF(H154&lt;0,-1E+099,A154-E154-M154+J154+(E154+F154)*Calculator!$B$9)</f>
        <v>358795</v>
      </c>
      <c r="O154" s="2"/>
      <c r="P154" s="11" t="n">
        <f aca="false">141*$B$3</f>
        <v>70500</v>
      </c>
      <c r="Q154" s="11" t="n">
        <f aca="false">MIN(P154,'Tax Tables'!$B$31*'Tax Tables'!$B$32)</f>
        <v>70500</v>
      </c>
      <c r="R154" s="11" t="n">
        <f aca="false">P154-Q154</f>
        <v>0</v>
      </c>
      <c r="S154" s="11" t="n">
        <f aca="false">IF(Calculator!$B$6="Yes",MIN(Q154,'Tax Tables'!$B$31*'Tax Tables'!$B$32),0)</f>
        <v>70500</v>
      </c>
      <c r="T154" s="11" t="n">
        <f aca="false">S154*Calculator!$B$7</f>
        <v>14100</v>
      </c>
      <c r="U154" s="11" t="n">
        <f aca="false">S154*Calculator!$B$8</f>
        <v>11985</v>
      </c>
      <c r="V154" s="11" t="n">
        <f aca="false">IF(Q154&gt;0,'Tax Tables'!$B$32*MIN(MAX(Q154/'Tax Tables'!$B$32*'Tax Tables'!$B$33,'Tax Tables'!$B$34),'Tax Tables'!$B$35),0)</f>
        <v>135</v>
      </c>
      <c r="W154" s="11" t="n">
        <f aca="false">Calculator!$B$5-P154-U154-V154</f>
        <v>317380</v>
      </c>
      <c r="X154" s="11" t="n">
        <f aca="false">'Tax Tables'!$B$22*(MAX(W154,0)-IF(Calculator!$B$10="Yes",MIN(MAX(W154,0),'Tax Tables'!$B$27)*'Tax Tables'!$B$28+MIN(MAX(MAX(W154,0)-'Tax Tables'!$B$27,0),'Tax Tables'!$B$29)*'Tax Tables'!$B$30,MIN(MAX(W154,0),'Tax Tables'!$B$23)*'Tax Tables'!$B$24+MIN(MAX(MAX(W154,0)-'Tax Tables'!$B$23,0),'Tax Tables'!$B$25)*'Tax Tables'!$B$26))*1-MIN('Tax Tables'!$B$22*(MAX(W154,0)-IF(Calculator!$B$10="Yes",MIN(MAX(W154,0),'Tax Tables'!$B$27)*'Tax Tables'!$B$28+MIN(MAX(MAX(W154,0)-'Tax Tables'!$B$27,0),'Tax Tables'!$B$29)*'Tax Tables'!$B$30,MIN(MAX(W154,0),'Tax Tables'!$B$23)*'Tax Tables'!$B$24+MIN(MAX(MAX(W154,0)-'Tax Tables'!$B$23,0),'Tax Tables'!$B$25)*'Tax Tables'!$B$26))*Calculator!$B$11,Calculator!$B$12)</f>
        <v>36529.6</v>
      </c>
      <c r="Y154" s="11" t="n">
        <f aca="false">MAX(W154,0)-X154</f>
        <v>280850.4</v>
      </c>
      <c r="Z154" s="11" t="n">
        <f aca="false">MIN(IF(P154&gt;0,Calculator!$B$13,0)+T154+Calculator!$B$14,'Tax Tables'!$B$36)</f>
        <v>15100</v>
      </c>
      <c r="AA154" s="11" t="n">
        <f aca="false">MAX(P154-Z154,0)</f>
        <v>55400</v>
      </c>
      <c r="AB154" s="11" t="n">
        <f aca="false">SUMPRODUCT((AA154&gt;'Tax Tables'!$A$5:$A$17)*(AA154-'Tax Tables'!$A$5:$A$17)*'Tax Tables'!$C$5:$C$17)</f>
        <v>1628</v>
      </c>
      <c r="AC154" s="11" t="n">
        <f aca="false">IF(W154&lt;0,-1E+099,P154-T154-AB154+Y154+(T154+U154)*Calculator!$B$9)</f>
        <v>361707.4</v>
      </c>
    </row>
    <row r="155" customFormat="false" ht="15" hidden="false" customHeight="false" outlineLevel="0" collapsed="false">
      <c r="A155" s="11" t="n">
        <f aca="false">142*$B$3</f>
        <v>71000</v>
      </c>
      <c r="B155" s="11" t="n">
        <f aca="false">0</f>
        <v>0</v>
      </c>
      <c r="C155" s="11" t="n">
        <f aca="false">A155-B155</f>
        <v>71000</v>
      </c>
      <c r="D155" s="11" t="n">
        <f aca="false">IF(Calculator!$B$6="Yes",MIN(B155,'Tax Tables'!$B$31*'Tax Tables'!$B$32),0)</f>
        <v>0</v>
      </c>
      <c r="E155" s="11" t="n">
        <f aca="false">D155*Calculator!$B$7</f>
        <v>0</v>
      </c>
      <c r="F155" s="11" t="n">
        <f aca="false">D155*Calculator!$B$8</f>
        <v>0</v>
      </c>
      <c r="G155" s="11" t="n">
        <f aca="false">IF(B155&gt;0,'Tax Tables'!$B$32*MIN(MAX(B155/'Tax Tables'!$B$32*'Tax Tables'!$B$33,'Tax Tables'!$B$34),'Tax Tables'!$B$35),0)</f>
        <v>0</v>
      </c>
      <c r="H155" s="11" t="n">
        <f aca="false">Calculator!$B$5-A155-F155-G155</f>
        <v>329000</v>
      </c>
      <c r="I155" s="11" t="n">
        <f aca="false">'Tax Tables'!$B$22*(MAX(H155,0)-IF(Calculator!$B$10="Yes",MIN(MAX(H155,0),'Tax Tables'!$B$27)*'Tax Tables'!$B$28+MIN(MAX(MAX(H155,0)-'Tax Tables'!$B$27,0),'Tax Tables'!$B$29)*'Tax Tables'!$B$30,MIN(MAX(H155,0),'Tax Tables'!$B$23)*'Tax Tables'!$B$24+MIN(MAX(MAX(H155,0)-'Tax Tables'!$B$23,0),'Tax Tables'!$B$25)*'Tax Tables'!$B$26))*1-MIN('Tax Tables'!$B$22*(MAX(H155,0)-IF(Calculator!$B$10="Yes",MIN(MAX(H155,0),'Tax Tables'!$B$27)*'Tax Tables'!$B$28+MIN(MAX(MAX(H155,0)-'Tax Tables'!$B$27,0),'Tax Tables'!$B$29)*'Tax Tables'!$B$30,MIN(MAX(H155,0),'Tax Tables'!$B$23)*'Tax Tables'!$B$24+MIN(MAX(MAX(H155,0)-'Tax Tables'!$B$23,0),'Tax Tables'!$B$25)*'Tax Tables'!$B$26))*Calculator!$B$11,Calculator!$B$12)</f>
        <v>38505</v>
      </c>
      <c r="J155" s="11" t="n">
        <f aca="false">MAX(H155,0)-I155</f>
        <v>290495</v>
      </c>
      <c r="K155" s="11" t="n">
        <f aca="false">MIN(IF(A155&gt;0,Calculator!$B$13,0)+E155+Calculator!$B$14,'Tax Tables'!$B$36)</f>
        <v>1000</v>
      </c>
      <c r="L155" s="11" t="n">
        <f aca="false">MAX(A155-K155,0)</f>
        <v>70000</v>
      </c>
      <c r="M155" s="11" t="n">
        <f aca="false">SUMPRODUCT((L155&gt;'Tax Tables'!$A$5:$A$17)*(L155-'Tax Tables'!$A$5:$A$17)*'Tax Tables'!$C$5:$C$17)</f>
        <v>2650</v>
      </c>
      <c r="N155" s="11" t="n">
        <f aca="false">IF(H155&lt;0,-1E+099,A155-E155-M155+J155+(E155+F155)*Calculator!$B$9)</f>
        <v>358845</v>
      </c>
      <c r="O155" s="2"/>
      <c r="P155" s="11" t="n">
        <f aca="false">142*$B$3</f>
        <v>71000</v>
      </c>
      <c r="Q155" s="11" t="n">
        <f aca="false">MIN(P155,'Tax Tables'!$B$31*'Tax Tables'!$B$32)</f>
        <v>71000</v>
      </c>
      <c r="R155" s="11" t="n">
        <f aca="false">P155-Q155</f>
        <v>0</v>
      </c>
      <c r="S155" s="11" t="n">
        <f aca="false">IF(Calculator!$B$6="Yes",MIN(Q155,'Tax Tables'!$B$31*'Tax Tables'!$B$32),0)</f>
        <v>71000</v>
      </c>
      <c r="T155" s="11" t="n">
        <f aca="false">S155*Calculator!$B$7</f>
        <v>14200</v>
      </c>
      <c r="U155" s="11" t="n">
        <f aca="false">S155*Calculator!$B$8</f>
        <v>12070</v>
      </c>
      <c r="V155" s="11" t="n">
        <f aca="false">IF(Q155&gt;0,'Tax Tables'!$B$32*MIN(MAX(Q155/'Tax Tables'!$B$32*'Tax Tables'!$B$33,'Tax Tables'!$B$34),'Tax Tables'!$B$35),0)</f>
        <v>135</v>
      </c>
      <c r="W155" s="11" t="n">
        <f aca="false">Calculator!$B$5-P155-U155-V155</f>
        <v>316795</v>
      </c>
      <c r="X155" s="11" t="n">
        <f aca="false">'Tax Tables'!$B$22*(MAX(W155,0)-IF(Calculator!$B$10="Yes",MIN(MAX(W155,0),'Tax Tables'!$B$27)*'Tax Tables'!$B$28+MIN(MAX(MAX(W155,0)-'Tax Tables'!$B$27,0),'Tax Tables'!$B$29)*'Tax Tables'!$B$30,MIN(MAX(W155,0),'Tax Tables'!$B$23)*'Tax Tables'!$B$24+MIN(MAX(MAX(W155,0)-'Tax Tables'!$B$23,0),'Tax Tables'!$B$25)*'Tax Tables'!$B$26))*1-MIN('Tax Tables'!$B$22*(MAX(W155,0)-IF(Calculator!$B$10="Yes",MIN(MAX(W155,0),'Tax Tables'!$B$27)*'Tax Tables'!$B$28+MIN(MAX(MAX(W155,0)-'Tax Tables'!$B$27,0),'Tax Tables'!$B$29)*'Tax Tables'!$B$30,MIN(MAX(W155,0),'Tax Tables'!$B$23)*'Tax Tables'!$B$24+MIN(MAX(MAX(W155,0)-'Tax Tables'!$B$23,0),'Tax Tables'!$B$25)*'Tax Tables'!$B$26))*Calculator!$B$11,Calculator!$B$12)</f>
        <v>36430.15</v>
      </c>
      <c r="Y155" s="11" t="n">
        <f aca="false">MAX(W155,0)-X155</f>
        <v>280364.85</v>
      </c>
      <c r="Z155" s="11" t="n">
        <f aca="false">MIN(IF(P155&gt;0,Calculator!$B$13,0)+T155+Calculator!$B$14,'Tax Tables'!$B$36)</f>
        <v>15200</v>
      </c>
      <c r="AA155" s="11" t="n">
        <f aca="false">MAX(P155-Z155,0)</f>
        <v>55800</v>
      </c>
      <c r="AB155" s="11" t="n">
        <f aca="false">SUMPRODUCT((AA155&gt;'Tax Tables'!$A$5:$A$17)*(AA155-'Tax Tables'!$A$5:$A$17)*'Tax Tables'!$C$5:$C$17)</f>
        <v>1656</v>
      </c>
      <c r="AC155" s="11" t="n">
        <f aca="false">IF(W155&lt;0,-1E+099,P155-T155-AB155+Y155+(T155+U155)*Calculator!$B$9)</f>
        <v>361778.85</v>
      </c>
    </row>
    <row r="156" customFormat="false" ht="15" hidden="false" customHeight="false" outlineLevel="0" collapsed="false">
      <c r="A156" s="11" t="n">
        <f aca="false">143*$B$3</f>
        <v>71500</v>
      </c>
      <c r="B156" s="11" t="n">
        <f aca="false">0</f>
        <v>0</v>
      </c>
      <c r="C156" s="11" t="n">
        <f aca="false">A156-B156</f>
        <v>71500</v>
      </c>
      <c r="D156" s="11" t="n">
        <f aca="false">IF(Calculator!$B$6="Yes",MIN(B156,'Tax Tables'!$B$31*'Tax Tables'!$B$32),0)</f>
        <v>0</v>
      </c>
      <c r="E156" s="11" t="n">
        <f aca="false">D156*Calculator!$B$7</f>
        <v>0</v>
      </c>
      <c r="F156" s="11" t="n">
        <f aca="false">D156*Calculator!$B$8</f>
        <v>0</v>
      </c>
      <c r="G156" s="11" t="n">
        <f aca="false">IF(B156&gt;0,'Tax Tables'!$B$32*MIN(MAX(B156/'Tax Tables'!$B$32*'Tax Tables'!$B$33,'Tax Tables'!$B$34),'Tax Tables'!$B$35),0)</f>
        <v>0</v>
      </c>
      <c r="H156" s="11" t="n">
        <f aca="false">Calculator!$B$5-A156-F156-G156</f>
        <v>328500</v>
      </c>
      <c r="I156" s="11" t="n">
        <f aca="false">'Tax Tables'!$B$22*(MAX(H156,0)-IF(Calculator!$B$10="Yes",MIN(MAX(H156,0),'Tax Tables'!$B$27)*'Tax Tables'!$B$28+MIN(MAX(MAX(H156,0)-'Tax Tables'!$B$27,0),'Tax Tables'!$B$29)*'Tax Tables'!$B$30,MIN(MAX(H156,0),'Tax Tables'!$B$23)*'Tax Tables'!$B$24+MIN(MAX(MAX(H156,0)-'Tax Tables'!$B$23,0),'Tax Tables'!$B$25)*'Tax Tables'!$B$26))*1-MIN('Tax Tables'!$B$22*(MAX(H156,0)-IF(Calculator!$B$10="Yes",MIN(MAX(H156,0),'Tax Tables'!$B$27)*'Tax Tables'!$B$28+MIN(MAX(MAX(H156,0)-'Tax Tables'!$B$27,0),'Tax Tables'!$B$29)*'Tax Tables'!$B$30,MIN(MAX(H156,0),'Tax Tables'!$B$23)*'Tax Tables'!$B$24+MIN(MAX(MAX(H156,0)-'Tax Tables'!$B$23,0),'Tax Tables'!$B$25)*'Tax Tables'!$B$26))*Calculator!$B$11,Calculator!$B$12)</f>
        <v>38420</v>
      </c>
      <c r="J156" s="11" t="n">
        <f aca="false">MAX(H156,0)-I156</f>
        <v>290080</v>
      </c>
      <c r="K156" s="11" t="n">
        <f aca="false">MIN(IF(A156&gt;0,Calculator!$B$13,0)+E156+Calculator!$B$14,'Tax Tables'!$B$36)</f>
        <v>1000</v>
      </c>
      <c r="L156" s="11" t="n">
        <f aca="false">MAX(A156-K156,0)</f>
        <v>70500</v>
      </c>
      <c r="M156" s="11" t="n">
        <f aca="false">SUMPRODUCT((L156&gt;'Tax Tables'!$A$5:$A$17)*(L156-'Tax Tables'!$A$5:$A$17)*'Tax Tables'!$C$5:$C$17)</f>
        <v>2685</v>
      </c>
      <c r="N156" s="11" t="n">
        <f aca="false">IF(H156&lt;0,-1E+099,A156-E156-M156+J156+(E156+F156)*Calculator!$B$9)</f>
        <v>358895</v>
      </c>
      <c r="O156" s="2"/>
      <c r="P156" s="11" t="n">
        <f aca="false">143*$B$3</f>
        <v>71500</v>
      </c>
      <c r="Q156" s="11" t="n">
        <f aca="false">MIN(P156,'Tax Tables'!$B$31*'Tax Tables'!$B$32)</f>
        <v>71500</v>
      </c>
      <c r="R156" s="11" t="n">
        <f aca="false">P156-Q156</f>
        <v>0</v>
      </c>
      <c r="S156" s="11" t="n">
        <f aca="false">IF(Calculator!$B$6="Yes",MIN(Q156,'Tax Tables'!$B$31*'Tax Tables'!$B$32),0)</f>
        <v>71500</v>
      </c>
      <c r="T156" s="11" t="n">
        <f aca="false">S156*Calculator!$B$7</f>
        <v>14300</v>
      </c>
      <c r="U156" s="11" t="n">
        <f aca="false">S156*Calculator!$B$8</f>
        <v>12155</v>
      </c>
      <c r="V156" s="11" t="n">
        <f aca="false">IF(Q156&gt;0,'Tax Tables'!$B$32*MIN(MAX(Q156/'Tax Tables'!$B$32*'Tax Tables'!$B$33,'Tax Tables'!$B$34),'Tax Tables'!$B$35),0)</f>
        <v>135</v>
      </c>
      <c r="W156" s="11" t="n">
        <f aca="false">Calculator!$B$5-P156-U156-V156</f>
        <v>316210</v>
      </c>
      <c r="X156" s="11" t="n">
        <f aca="false">'Tax Tables'!$B$22*(MAX(W156,0)-IF(Calculator!$B$10="Yes",MIN(MAX(W156,0),'Tax Tables'!$B$27)*'Tax Tables'!$B$28+MIN(MAX(MAX(W156,0)-'Tax Tables'!$B$27,0),'Tax Tables'!$B$29)*'Tax Tables'!$B$30,MIN(MAX(W156,0),'Tax Tables'!$B$23)*'Tax Tables'!$B$24+MIN(MAX(MAX(W156,0)-'Tax Tables'!$B$23,0),'Tax Tables'!$B$25)*'Tax Tables'!$B$26))*1-MIN('Tax Tables'!$B$22*(MAX(W156,0)-IF(Calculator!$B$10="Yes",MIN(MAX(W156,0),'Tax Tables'!$B$27)*'Tax Tables'!$B$28+MIN(MAX(MAX(W156,0)-'Tax Tables'!$B$27,0),'Tax Tables'!$B$29)*'Tax Tables'!$B$30,MIN(MAX(W156,0),'Tax Tables'!$B$23)*'Tax Tables'!$B$24+MIN(MAX(MAX(W156,0)-'Tax Tables'!$B$23,0),'Tax Tables'!$B$25)*'Tax Tables'!$B$26))*Calculator!$B$11,Calculator!$B$12)</f>
        <v>36330.7</v>
      </c>
      <c r="Y156" s="11" t="n">
        <f aca="false">MAX(W156,0)-X156</f>
        <v>279879.3</v>
      </c>
      <c r="Z156" s="11" t="n">
        <f aca="false">MIN(IF(P156&gt;0,Calculator!$B$13,0)+T156+Calculator!$B$14,'Tax Tables'!$B$36)</f>
        <v>15300</v>
      </c>
      <c r="AA156" s="11" t="n">
        <f aca="false">MAX(P156-Z156,0)</f>
        <v>56200</v>
      </c>
      <c r="AB156" s="11" t="n">
        <f aca="false">SUMPRODUCT((AA156&gt;'Tax Tables'!$A$5:$A$17)*(AA156-'Tax Tables'!$A$5:$A$17)*'Tax Tables'!$C$5:$C$17)</f>
        <v>1684</v>
      </c>
      <c r="AC156" s="11" t="n">
        <f aca="false">IF(W156&lt;0,-1E+099,P156-T156-AB156+Y156+(T156+U156)*Calculator!$B$9)</f>
        <v>361850.3</v>
      </c>
    </row>
    <row r="157" customFormat="false" ht="15" hidden="false" customHeight="false" outlineLevel="0" collapsed="false">
      <c r="A157" s="11" t="n">
        <f aca="false">144*$B$3</f>
        <v>72000</v>
      </c>
      <c r="B157" s="11" t="n">
        <f aca="false">0</f>
        <v>0</v>
      </c>
      <c r="C157" s="11" t="n">
        <f aca="false">A157-B157</f>
        <v>72000</v>
      </c>
      <c r="D157" s="11" t="n">
        <f aca="false">IF(Calculator!$B$6="Yes",MIN(B157,'Tax Tables'!$B$31*'Tax Tables'!$B$32),0)</f>
        <v>0</v>
      </c>
      <c r="E157" s="11" t="n">
        <f aca="false">D157*Calculator!$B$7</f>
        <v>0</v>
      </c>
      <c r="F157" s="11" t="n">
        <f aca="false">D157*Calculator!$B$8</f>
        <v>0</v>
      </c>
      <c r="G157" s="11" t="n">
        <f aca="false">IF(B157&gt;0,'Tax Tables'!$B$32*MIN(MAX(B157/'Tax Tables'!$B$32*'Tax Tables'!$B$33,'Tax Tables'!$B$34),'Tax Tables'!$B$35),0)</f>
        <v>0</v>
      </c>
      <c r="H157" s="11" t="n">
        <f aca="false">Calculator!$B$5-A157-F157-G157</f>
        <v>328000</v>
      </c>
      <c r="I157" s="11" t="n">
        <f aca="false">'Tax Tables'!$B$22*(MAX(H157,0)-IF(Calculator!$B$10="Yes",MIN(MAX(H157,0),'Tax Tables'!$B$27)*'Tax Tables'!$B$28+MIN(MAX(MAX(H157,0)-'Tax Tables'!$B$27,0),'Tax Tables'!$B$29)*'Tax Tables'!$B$30,MIN(MAX(H157,0),'Tax Tables'!$B$23)*'Tax Tables'!$B$24+MIN(MAX(MAX(H157,0)-'Tax Tables'!$B$23,0),'Tax Tables'!$B$25)*'Tax Tables'!$B$26))*1-MIN('Tax Tables'!$B$22*(MAX(H157,0)-IF(Calculator!$B$10="Yes",MIN(MAX(H157,0),'Tax Tables'!$B$27)*'Tax Tables'!$B$28+MIN(MAX(MAX(H157,0)-'Tax Tables'!$B$27,0),'Tax Tables'!$B$29)*'Tax Tables'!$B$30,MIN(MAX(H157,0),'Tax Tables'!$B$23)*'Tax Tables'!$B$24+MIN(MAX(MAX(H157,0)-'Tax Tables'!$B$23,0),'Tax Tables'!$B$25)*'Tax Tables'!$B$26))*Calculator!$B$11,Calculator!$B$12)</f>
        <v>38335</v>
      </c>
      <c r="J157" s="11" t="n">
        <f aca="false">MAX(H157,0)-I157</f>
        <v>289665</v>
      </c>
      <c r="K157" s="11" t="n">
        <f aca="false">MIN(IF(A157&gt;0,Calculator!$B$13,0)+E157+Calculator!$B$14,'Tax Tables'!$B$36)</f>
        <v>1000</v>
      </c>
      <c r="L157" s="11" t="n">
        <f aca="false">MAX(A157-K157,0)</f>
        <v>71000</v>
      </c>
      <c r="M157" s="11" t="n">
        <f aca="false">SUMPRODUCT((L157&gt;'Tax Tables'!$A$5:$A$17)*(L157-'Tax Tables'!$A$5:$A$17)*'Tax Tables'!$C$5:$C$17)</f>
        <v>2720</v>
      </c>
      <c r="N157" s="11" t="n">
        <f aca="false">IF(H157&lt;0,-1E+099,A157-E157-M157+J157+(E157+F157)*Calculator!$B$9)</f>
        <v>358945</v>
      </c>
      <c r="O157" s="2"/>
      <c r="P157" s="11" t="n">
        <f aca="false">144*$B$3</f>
        <v>72000</v>
      </c>
      <c r="Q157" s="11" t="n">
        <f aca="false">MIN(P157,'Tax Tables'!$B$31*'Tax Tables'!$B$32)</f>
        <v>72000</v>
      </c>
      <c r="R157" s="11" t="n">
        <f aca="false">P157-Q157</f>
        <v>0</v>
      </c>
      <c r="S157" s="11" t="n">
        <f aca="false">IF(Calculator!$B$6="Yes",MIN(Q157,'Tax Tables'!$B$31*'Tax Tables'!$B$32),0)</f>
        <v>72000</v>
      </c>
      <c r="T157" s="11" t="n">
        <f aca="false">S157*Calculator!$B$7</f>
        <v>14400</v>
      </c>
      <c r="U157" s="11" t="n">
        <f aca="false">S157*Calculator!$B$8</f>
        <v>12240</v>
      </c>
      <c r="V157" s="11" t="n">
        <f aca="false">IF(Q157&gt;0,'Tax Tables'!$B$32*MIN(MAX(Q157/'Tax Tables'!$B$32*'Tax Tables'!$B$33,'Tax Tables'!$B$34),'Tax Tables'!$B$35),0)</f>
        <v>135</v>
      </c>
      <c r="W157" s="11" t="n">
        <f aca="false">Calculator!$B$5-P157-U157-V157</f>
        <v>315625</v>
      </c>
      <c r="X157" s="11" t="n">
        <f aca="false">'Tax Tables'!$B$22*(MAX(W157,0)-IF(Calculator!$B$10="Yes",MIN(MAX(W157,0),'Tax Tables'!$B$27)*'Tax Tables'!$B$28+MIN(MAX(MAX(W157,0)-'Tax Tables'!$B$27,0),'Tax Tables'!$B$29)*'Tax Tables'!$B$30,MIN(MAX(W157,0),'Tax Tables'!$B$23)*'Tax Tables'!$B$24+MIN(MAX(MAX(W157,0)-'Tax Tables'!$B$23,0),'Tax Tables'!$B$25)*'Tax Tables'!$B$26))*1-MIN('Tax Tables'!$B$22*(MAX(W157,0)-IF(Calculator!$B$10="Yes",MIN(MAX(W157,0),'Tax Tables'!$B$27)*'Tax Tables'!$B$28+MIN(MAX(MAX(W157,0)-'Tax Tables'!$B$27,0),'Tax Tables'!$B$29)*'Tax Tables'!$B$30,MIN(MAX(W157,0),'Tax Tables'!$B$23)*'Tax Tables'!$B$24+MIN(MAX(MAX(W157,0)-'Tax Tables'!$B$23,0),'Tax Tables'!$B$25)*'Tax Tables'!$B$26))*Calculator!$B$11,Calculator!$B$12)</f>
        <v>36231.25</v>
      </c>
      <c r="Y157" s="11" t="n">
        <f aca="false">MAX(W157,0)-X157</f>
        <v>279393.75</v>
      </c>
      <c r="Z157" s="11" t="n">
        <f aca="false">MIN(IF(P157&gt;0,Calculator!$B$13,0)+T157+Calculator!$B$14,'Tax Tables'!$B$36)</f>
        <v>15400</v>
      </c>
      <c r="AA157" s="11" t="n">
        <f aca="false">MAX(P157-Z157,0)</f>
        <v>56600</v>
      </c>
      <c r="AB157" s="11" t="n">
        <f aca="false">SUMPRODUCT((AA157&gt;'Tax Tables'!$A$5:$A$17)*(AA157-'Tax Tables'!$A$5:$A$17)*'Tax Tables'!$C$5:$C$17)</f>
        <v>1712</v>
      </c>
      <c r="AC157" s="11" t="n">
        <f aca="false">IF(W157&lt;0,-1E+099,P157-T157-AB157+Y157+(T157+U157)*Calculator!$B$9)</f>
        <v>361921.75</v>
      </c>
    </row>
    <row r="158" customFormat="false" ht="15" hidden="false" customHeight="false" outlineLevel="0" collapsed="false">
      <c r="A158" s="11" t="n">
        <f aca="false">145*$B$3</f>
        <v>72500</v>
      </c>
      <c r="B158" s="11" t="n">
        <f aca="false">0</f>
        <v>0</v>
      </c>
      <c r="C158" s="11" t="n">
        <f aca="false">A158-B158</f>
        <v>72500</v>
      </c>
      <c r="D158" s="11" t="n">
        <f aca="false">IF(Calculator!$B$6="Yes",MIN(B158,'Tax Tables'!$B$31*'Tax Tables'!$B$32),0)</f>
        <v>0</v>
      </c>
      <c r="E158" s="11" t="n">
        <f aca="false">D158*Calculator!$B$7</f>
        <v>0</v>
      </c>
      <c r="F158" s="11" t="n">
        <f aca="false">D158*Calculator!$B$8</f>
        <v>0</v>
      </c>
      <c r="G158" s="11" t="n">
        <f aca="false">IF(B158&gt;0,'Tax Tables'!$B$32*MIN(MAX(B158/'Tax Tables'!$B$32*'Tax Tables'!$B$33,'Tax Tables'!$B$34),'Tax Tables'!$B$35),0)</f>
        <v>0</v>
      </c>
      <c r="H158" s="11" t="n">
        <f aca="false">Calculator!$B$5-A158-F158-G158</f>
        <v>327500</v>
      </c>
      <c r="I158" s="11" t="n">
        <f aca="false">'Tax Tables'!$B$22*(MAX(H158,0)-IF(Calculator!$B$10="Yes",MIN(MAX(H158,0),'Tax Tables'!$B$27)*'Tax Tables'!$B$28+MIN(MAX(MAX(H158,0)-'Tax Tables'!$B$27,0),'Tax Tables'!$B$29)*'Tax Tables'!$B$30,MIN(MAX(H158,0),'Tax Tables'!$B$23)*'Tax Tables'!$B$24+MIN(MAX(MAX(H158,0)-'Tax Tables'!$B$23,0),'Tax Tables'!$B$25)*'Tax Tables'!$B$26))*1-MIN('Tax Tables'!$B$22*(MAX(H158,0)-IF(Calculator!$B$10="Yes",MIN(MAX(H158,0),'Tax Tables'!$B$27)*'Tax Tables'!$B$28+MIN(MAX(MAX(H158,0)-'Tax Tables'!$B$27,0),'Tax Tables'!$B$29)*'Tax Tables'!$B$30,MIN(MAX(H158,0),'Tax Tables'!$B$23)*'Tax Tables'!$B$24+MIN(MAX(MAX(H158,0)-'Tax Tables'!$B$23,0),'Tax Tables'!$B$25)*'Tax Tables'!$B$26))*Calculator!$B$11,Calculator!$B$12)</f>
        <v>38250</v>
      </c>
      <c r="J158" s="11" t="n">
        <f aca="false">MAX(H158,0)-I158</f>
        <v>289250</v>
      </c>
      <c r="K158" s="11" t="n">
        <f aca="false">MIN(IF(A158&gt;0,Calculator!$B$13,0)+E158+Calculator!$B$14,'Tax Tables'!$B$36)</f>
        <v>1000</v>
      </c>
      <c r="L158" s="11" t="n">
        <f aca="false">MAX(A158-K158,0)</f>
        <v>71500</v>
      </c>
      <c r="M158" s="11" t="n">
        <f aca="false">SUMPRODUCT((L158&gt;'Tax Tables'!$A$5:$A$17)*(L158-'Tax Tables'!$A$5:$A$17)*'Tax Tables'!$C$5:$C$17)</f>
        <v>2755</v>
      </c>
      <c r="N158" s="11" t="n">
        <f aca="false">IF(H158&lt;0,-1E+099,A158-E158-M158+J158+(E158+F158)*Calculator!$B$9)</f>
        <v>358995</v>
      </c>
      <c r="O158" s="2"/>
      <c r="P158" s="11" t="n">
        <f aca="false">145*$B$3</f>
        <v>72500</v>
      </c>
      <c r="Q158" s="11" t="n">
        <f aca="false">MIN(P158,'Tax Tables'!$B$31*'Tax Tables'!$B$32)</f>
        <v>72500</v>
      </c>
      <c r="R158" s="11" t="n">
        <f aca="false">P158-Q158</f>
        <v>0</v>
      </c>
      <c r="S158" s="11" t="n">
        <f aca="false">IF(Calculator!$B$6="Yes",MIN(Q158,'Tax Tables'!$B$31*'Tax Tables'!$B$32),0)</f>
        <v>72500</v>
      </c>
      <c r="T158" s="11" t="n">
        <f aca="false">S158*Calculator!$B$7</f>
        <v>14500</v>
      </c>
      <c r="U158" s="11" t="n">
        <f aca="false">S158*Calculator!$B$8</f>
        <v>12325</v>
      </c>
      <c r="V158" s="11" t="n">
        <f aca="false">IF(Q158&gt;0,'Tax Tables'!$B$32*MIN(MAX(Q158/'Tax Tables'!$B$32*'Tax Tables'!$B$33,'Tax Tables'!$B$34),'Tax Tables'!$B$35),0)</f>
        <v>135</v>
      </c>
      <c r="W158" s="11" t="n">
        <f aca="false">Calculator!$B$5-P158-U158-V158</f>
        <v>315040</v>
      </c>
      <c r="X158" s="11" t="n">
        <f aca="false">'Tax Tables'!$B$22*(MAX(W158,0)-IF(Calculator!$B$10="Yes",MIN(MAX(W158,0),'Tax Tables'!$B$27)*'Tax Tables'!$B$28+MIN(MAX(MAX(W158,0)-'Tax Tables'!$B$27,0),'Tax Tables'!$B$29)*'Tax Tables'!$B$30,MIN(MAX(W158,0),'Tax Tables'!$B$23)*'Tax Tables'!$B$24+MIN(MAX(MAX(W158,0)-'Tax Tables'!$B$23,0),'Tax Tables'!$B$25)*'Tax Tables'!$B$26))*1-MIN('Tax Tables'!$B$22*(MAX(W158,0)-IF(Calculator!$B$10="Yes",MIN(MAX(W158,0),'Tax Tables'!$B$27)*'Tax Tables'!$B$28+MIN(MAX(MAX(W158,0)-'Tax Tables'!$B$27,0),'Tax Tables'!$B$29)*'Tax Tables'!$B$30,MIN(MAX(W158,0),'Tax Tables'!$B$23)*'Tax Tables'!$B$24+MIN(MAX(MAX(W158,0)-'Tax Tables'!$B$23,0),'Tax Tables'!$B$25)*'Tax Tables'!$B$26))*Calculator!$B$11,Calculator!$B$12)</f>
        <v>36131.8</v>
      </c>
      <c r="Y158" s="11" t="n">
        <f aca="false">MAX(W158,0)-X158</f>
        <v>278908.2</v>
      </c>
      <c r="Z158" s="11" t="n">
        <f aca="false">MIN(IF(P158&gt;0,Calculator!$B$13,0)+T158+Calculator!$B$14,'Tax Tables'!$B$36)</f>
        <v>15500</v>
      </c>
      <c r="AA158" s="11" t="n">
        <f aca="false">MAX(P158-Z158,0)</f>
        <v>57000</v>
      </c>
      <c r="AB158" s="11" t="n">
        <f aca="false">SUMPRODUCT((AA158&gt;'Tax Tables'!$A$5:$A$17)*(AA158-'Tax Tables'!$A$5:$A$17)*'Tax Tables'!$C$5:$C$17)</f>
        <v>1740</v>
      </c>
      <c r="AC158" s="11" t="n">
        <f aca="false">IF(W158&lt;0,-1E+099,P158-T158-AB158+Y158+(T158+U158)*Calculator!$B$9)</f>
        <v>361993.2</v>
      </c>
    </row>
    <row r="159" customFormat="false" ht="15" hidden="false" customHeight="false" outlineLevel="0" collapsed="false">
      <c r="A159" s="11" t="n">
        <f aca="false">146*$B$3</f>
        <v>73000</v>
      </c>
      <c r="B159" s="11" t="n">
        <f aca="false">0</f>
        <v>0</v>
      </c>
      <c r="C159" s="11" t="n">
        <f aca="false">A159-B159</f>
        <v>73000</v>
      </c>
      <c r="D159" s="11" t="n">
        <f aca="false">IF(Calculator!$B$6="Yes",MIN(B159,'Tax Tables'!$B$31*'Tax Tables'!$B$32),0)</f>
        <v>0</v>
      </c>
      <c r="E159" s="11" t="n">
        <f aca="false">D159*Calculator!$B$7</f>
        <v>0</v>
      </c>
      <c r="F159" s="11" t="n">
        <f aca="false">D159*Calculator!$B$8</f>
        <v>0</v>
      </c>
      <c r="G159" s="11" t="n">
        <f aca="false">IF(B159&gt;0,'Tax Tables'!$B$32*MIN(MAX(B159/'Tax Tables'!$B$32*'Tax Tables'!$B$33,'Tax Tables'!$B$34),'Tax Tables'!$B$35),0)</f>
        <v>0</v>
      </c>
      <c r="H159" s="11" t="n">
        <f aca="false">Calculator!$B$5-A159-F159-G159</f>
        <v>327000</v>
      </c>
      <c r="I159" s="11" t="n">
        <f aca="false">'Tax Tables'!$B$22*(MAX(H159,0)-IF(Calculator!$B$10="Yes",MIN(MAX(H159,0),'Tax Tables'!$B$27)*'Tax Tables'!$B$28+MIN(MAX(MAX(H159,0)-'Tax Tables'!$B$27,0),'Tax Tables'!$B$29)*'Tax Tables'!$B$30,MIN(MAX(H159,0),'Tax Tables'!$B$23)*'Tax Tables'!$B$24+MIN(MAX(MAX(H159,0)-'Tax Tables'!$B$23,0),'Tax Tables'!$B$25)*'Tax Tables'!$B$26))*1-MIN('Tax Tables'!$B$22*(MAX(H159,0)-IF(Calculator!$B$10="Yes",MIN(MAX(H159,0),'Tax Tables'!$B$27)*'Tax Tables'!$B$28+MIN(MAX(MAX(H159,0)-'Tax Tables'!$B$27,0),'Tax Tables'!$B$29)*'Tax Tables'!$B$30,MIN(MAX(H159,0),'Tax Tables'!$B$23)*'Tax Tables'!$B$24+MIN(MAX(MAX(H159,0)-'Tax Tables'!$B$23,0),'Tax Tables'!$B$25)*'Tax Tables'!$B$26))*Calculator!$B$11,Calculator!$B$12)</f>
        <v>38165</v>
      </c>
      <c r="J159" s="11" t="n">
        <f aca="false">MAX(H159,0)-I159</f>
        <v>288835</v>
      </c>
      <c r="K159" s="11" t="n">
        <f aca="false">MIN(IF(A159&gt;0,Calculator!$B$13,0)+E159+Calculator!$B$14,'Tax Tables'!$B$36)</f>
        <v>1000</v>
      </c>
      <c r="L159" s="11" t="n">
        <f aca="false">MAX(A159-K159,0)</f>
        <v>72000</v>
      </c>
      <c r="M159" s="11" t="n">
        <f aca="false">SUMPRODUCT((L159&gt;'Tax Tables'!$A$5:$A$17)*(L159-'Tax Tables'!$A$5:$A$17)*'Tax Tables'!$C$5:$C$17)</f>
        <v>2790</v>
      </c>
      <c r="N159" s="11" t="n">
        <f aca="false">IF(H159&lt;0,-1E+099,A159-E159-M159+J159+(E159+F159)*Calculator!$B$9)</f>
        <v>359045</v>
      </c>
      <c r="O159" s="2"/>
      <c r="P159" s="11" t="n">
        <f aca="false">146*$B$3</f>
        <v>73000</v>
      </c>
      <c r="Q159" s="11" t="n">
        <f aca="false">MIN(P159,'Tax Tables'!$B$31*'Tax Tables'!$B$32)</f>
        <v>73000</v>
      </c>
      <c r="R159" s="11" t="n">
        <f aca="false">P159-Q159</f>
        <v>0</v>
      </c>
      <c r="S159" s="11" t="n">
        <f aca="false">IF(Calculator!$B$6="Yes",MIN(Q159,'Tax Tables'!$B$31*'Tax Tables'!$B$32),0)</f>
        <v>73000</v>
      </c>
      <c r="T159" s="11" t="n">
        <f aca="false">S159*Calculator!$B$7</f>
        <v>14600</v>
      </c>
      <c r="U159" s="11" t="n">
        <f aca="false">S159*Calculator!$B$8</f>
        <v>12410</v>
      </c>
      <c r="V159" s="11" t="n">
        <f aca="false">IF(Q159&gt;0,'Tax Tables'!$B$32*MIN(MAX(Q159/'Tax Tables'!$B$32*'Tax Tables'!$B$33,'Tax Tables'!$B$34),'Tax Tables'!$B$35),0)</f>
        <v>135</v>
      </c>
      <c r="W159" s="11" t="n">
        <f aca="false">Calculator!$B$5-P159-U159-V159</f>
        <v>314455</v>
      </c>
      <c r="X159" s="11" t="n">
        <f aca="false">'Tax Tables'!$B$22*(MAX(W159,0)-IF(Calculator!$B$10="Yes",MIN(MAX(W159,0),'Tax Tables'!$B$27)*'Tax Tables'!$B$28+MIN(MAX(MAX(W159,0)-'Tax Tables'!$B$27,0),'Tax Tables'!$B$29)*'Tax Tables'!$B$30,MIN(MAX(W159,0),'Tax Tables'!$B$23)*'Tax Tables'!$B$24+MIN(MAX(MAX(W159,0)-'Tax Tables'!$B$23,0),'Tax Tables'!$B$25)*'Tax Tables'!$B$26))*1-MIN('Tax Tables'!$B$22*(MAX(W159,0)-IF(Calculator!$B$10="Yes",MIN(MAX(W159,0),'Tax Tables'!$B$27)*'Tax Tables'!$B$28+MIN(MAX(MAX(W159,0)-'Tax Tables'!$B$27,0),'Tax Tables'!$B$29)*'Tax Tables'!$B$30,MIN(MAX(W159,0),'Tax Tables'!$B$23)*'Tax Tables'!$B$24+MIN(MAX(MAX(W159,0)-'Tax Tables'!$B$23,0),'Tax Tables'!$B$25)*'Tax Tables'!$B$26))*Calculator!$B$11,Calculator!$B$12)</f>
        <v>36032.35</v>
      </c>
      <c r="Y159" s="11" t="n">
        <f aca="false">MAX(W159,0)-X159</f>
        <v>278422.65</v>
      </c>
      <c r="Z159" s="11" t="n">
        <f aca="false">MIN(IF(P159&gt;0,Calculator!$B$13,0)+T159+Calculator!$B$14,'Tax Tables'!$B$36)</f>
        <v>15600</v>
      </c>
      <c r="AA159" s="11" t="n">
        <f aca="false">MAX(P159-Z159,0)</f>
        <v>57400</v>
      </c>
      <c r="AB159" s="11" t="n">
        <f aca="false">SUMPRODUCT((AA159&gt;'Tax Tables'!$A$5:$A$17)*(AA159-'Tax Tables'!$A$5:$A$17)*'Tax Tables'!$C$5:$C$17)</f>
        <v>1768</v>
      </c>
      <c r="AC159" s="11" t="n">
        <f aca="false">IF(W159&lt;0,-1E+099,P159-T159-AB159+Y159+(T159+U159)*Calculator!$B$9)</f>
        <v>362064.65</v>
      </c>
    </row>
    <row r="160" customFormat="false" ht="15" hidden="false" customHeight="false" outlineLevel="0" collapsed="false">
      <c r="A160" s="11" t="n">
        <f aca="false">147*$B$3</f>
        <v>73500</v>
      </c>
      <c r="B160" s="11" t="n">
        <f aca="false">0</f>
        <v>0</v>
      </c>
      <c r="C160" s="11" t="n">
        <f aca="false">A160-B160</f>
        <v>73500</v>
      </c>
      <c r="D160" s="11" t="n">
        <f aca="false">IF(Calculator!$B$6="Yes",MIN(B160,'Tax Tables'!$B$31*'Tax Tables'!$B$32),0)</f>
        <v>0</v>
      </c>
      <c r="E160" s="11" t="n">
        <f aca="false">D160*Calculator!$B$7</f>
        <v>0</v>
      </c>
      <c r="F160" s="11" t="n">
        <f aca="false">D160*Calculator!$B$8</f>
        <v>0</v>
      </c>
      <c r="G160" s="11" t="n">
        <f aca="false">IF(B160&gt;0,'Tax Tables'!$B$32*MIN(MAX(B160/'Tax Tables'!$B$32*'Tax Tables'!$B$33,'Tax Tables'!$B$34),'Tax Tables'!$B$35),0)</f>
        <v>0</v>
      </c>
      <c r="H160" s="11" t="n">
        <f aca="false">Calculator!$B$5-A160-F160-G160</f>
        <v>326500</v>
      </c>
      <c r="I160" s="11" t="n">
        <f aca="false">'Tax Tables'!$B$22*(MAX(H160,0)-IF(Calculator!$B$10="Yes",MIN(MAX(H160,0),'Tax Tables'!$B$27)*'Tax Tables'!$B$28+MIN(MAX(MAX(H160,0)-'Tax Tables'!$B$27,0),'Tax Tables'!$B$29)*'Tax Tables'!$B$30,MIN(MAX(H160,0),'Tax Tables'!$B$23)*'Tax Tables'!$B$24+MIN(MAX(MAX(H160,0)-'Tax Tables'!$B$23,0),'Tax Tables'!$B$25)*'Tax Tables'!$B$26))*1-MIN('Tax Tables'!$B$22*(MAX(H160,0)-IF(Calculator!$B$10="Yes",MIN(MAX(H160,0),'Tax Tables'!$B$27)*'Tax Tables'!$B$28+MIN(MAX(MAX(H160,0)-'Tax Tables'!$B$27,0),'Tax Tables'!$B$29)*'Tax Tables'!$B$30,MIN(MAX(H160,0),'Tax Tables'!$B$23)*'Tax Tables'!$B$24+MIN(MAX(MAX(H160,0)-'Tax Tables'!$B$23,0),'Tax Tables'!$B$25)*'Tax Tables'!$B$26))*Calculator!$B$11,Calculator!$B$12)</f>
        <v>38080</v>
      </c>
      <c r="J160" s="11" t="n">
        <f aca="false">MAX(H160,0)-I160</f>
        <v>288420</v>
      </c>
      <c r="K160" s="11" t="n">
        <f aca="false">MIN(IF(A160&gt;0,Calculator!$B$13,0)+E160+Calculator!$B$14,'Tax Tables'!$B$36)</f>
        <v>1000</v>
      </c>
      <c r="L160" s="11" t="n">
        <f aca="false">MAX(A160-K160,0)</f>
        <v>72500</v>
      </c>
      <c r="M160" s="11" t="n">
        <f aca="false">SUMPRODUCT((L160&gt;'Tax Tables'!$A$5:$A$17)*(L160-'Tax Tables'!$A$5:$A$17)*'Tax Tables'!$C$5:$C$17)</f>
        <v>2825</v>
      </c>
      <c r="N160" s="11" t="n">
        <f aca="false">IF(H160&lt;0,-1E+099,A160-E160-M160+J160+(E160+F160)*Calculator!$B$9)</f>
        <v>359095</v>
      </c>
      <c r="O160" s="2"/>
      <c r="P160" s="11" t="n">
        <f aca="false">147*$B$3</f>
        <v>73500</v>
      </c>
      <c r="Q160" s="11" t="n">
        <f aca="false">MIN(P160,'Tax Tables'!$B$31*'Tax Tables'!$B$32)</f>
        <v>73500</v>
      </c>
      <c r="R160" s="11" t="n">
        <f aca="false">P160-Q160</f>
        <v>0</v>
      </c>
      <c r="S160" s="11" t="n">
        <f aca="false">IF(Calculator!$B$6="Yes",MIN(Q160,'Tax Tables'!$B$31*'Tax Tables'!$B$32),0)</f>
        <v>73500</v>
      </c>
      <c r="T160" s="11" t="n">
        <f aca="false">S160*Calculator!$B$7</f>
        <v>14700</v>
      </c>
      <c r="U160" s="11" t="n">
        <f aca="false">S160*Calculator!$B$8</f>
        <v>12495</v>
      </c>
      <c r="V160" s="11" t="n">
        <f aca="false">IF(Q160&gt;0,'Tax Tables'!$B$32*MIN(MAX(Q160/'Tax Tables'!$B$32*'Tax Tables'!$B$33,'Tax Tables'!$B$34),'Tax Tables'!$B$35),0)</f>
        <v>135</v>
      </c>
      <c r="W160" s="11" t="n">
        <f aca="false">Calculator!$B$5-P160-U160-V160</f>
        <v>313870</v>
      </c>
      <c r="X160" s="11" t="n">
        <f aca="false">'Tax Tables'!$B$22*(MAX(W160,0)-IF(Calculator!$B$10="Yes",MIN(MAX(W160,0),'Tax Tables'!$B$27)*'Tax Tables'!$B$28+MIN(MAX(MAX(W160,0)-'Tax Tables'!$B$27,0),'Tax Tables'!$B$29)*'Tax Tables'!$B$30,MIN(MAX(W160,0),'Tax Tables'!$B$23)*'Tax Tables'!$B$24+MIN(MAX(MAX(W160,0)-'Tax Tables'!$B$23,0),'Tax Tables'!$B$25)*'Tax Tables'!$B$26))*1-MIN('Tax Tables'!$B$22*(MAX(W160,0)-IF(Calculator!$B$10="Yes",MIN(MAX(W160,0),'Tax Tables'!$B$27)*'Tax Tables'!$B$28+MIN(MAX(MAX(W160,0)-'Tax Tables'!$B$27,0),'Tax Tables'!$B$29)*'Tax Tables'!$B$30,MIN(MAX(W160,0),'Tax Tables'!$B$23)*'Tax Tables'!$B$24+MIN(MAX(MAX(W160,0)-'Tax Tables'!$B$23,0),'Tax Tables'!$B$25)*'Tax Tables'!$B$26))*Calculator!$B$11,Calculator!$B$12)</f>
        <v>35932.9</v>
      </c>
      <c r="Y160" s="11" t="n">
        <f aca="false">MAX(W160,0)-X160</f>
        <v>277937.1</v>
      </c>
      <c r="Z160" s="11" t="n">
        <f aca="false">MIN(IF(P160&gt;0,Calculator!$B$13,0)+T160+Calculator!$B$14,'Tax Tables'!$B$36)</f>
        <v>15700</v>
      </c>
      <c r="AA160" s="11" t="n">
        <f aca="false">MAX(P160-Z160,0)</f>
        <v>57800</v>
      </c>
      <c r="AB160" s="11" t="n">
        <f aca="false">SUMPRODUCT((AA160&gt;'Tax Tables'!$A$5:$A$17)*(AA160-'Tax Tables'!$A$5:$A$17)*'Tax Tables'!$C$5:$C$17)</f>
        <v>1796</v>
      </c>
      <c r="AC160" s="11" t="n">
        <f aca="false">IF(W160&lt;0,-1E+099,P160-T160-AB160+Y160+(T160+U160)*Calculator!$B$9)</f>
        <v>362136.1</v>
      </c>
    </row>
    <row r="161" customFormat="false" ht="15" hidden="false" customHeight="false" outlineLevel="0" collapsed="false">
      <c r="A161" s="11" t="n">
        <f aca="false">148*$B$3</f>
        <v>74000</v>
      </c>
      <c r="B161" s="11" t="n">
        <f aca="false">0</f>
        <v>0</v>
      </c>
      <c r="C161" s="11" t="n">
        <f aca="false">A161-B161</f>
        <v>74000</v>
      </c>
      <c r="D161" s="11" t="n">
        <f aca="false">IF(Calculator!$B$6="Yes",MIN(B161,'Tax Tables'!$B$31*'Tax Tables'!$B$32),0)</f>
        <v>0</v>
      </c>
      <c r="E161" s="11" t="n">
        <f aca="false">D161*Calculator!$B$7</f>
        <v>0</v>
      </c>
      <c r="F161" s="11" t="n">
        <f aca="false">D161*Calculator!$B$8</f>
        <v>0</v>
      </c>
      <c r="G161" s="11" t="n">
        <f aca="false">IF(B161&gt;0,'Tax Tables'!$B$32*MIN(MAX(B161/'Tax Tables'!$B$32*'Tax Tables'!$B$33,'Tax Tables'!$B$34),'Tax Tables'!$B$35),0)</f>
        <v>0</v>
      </c>
      <c r="H161" s="11" t="n">
        <f aca="false">Calculator!$B$5-A161-F161-G161</f>
        <v>326000</v>
      </c>
      <c r="I161" s="11" t="n">
        <f aca="false">'Tax Tables'!$B$22*(MAX(H161,0)-IF(Calculator!$B$10="Yes",MIN(MAX(H161,0),'Tax Tables'!$B$27)*'Tax Tables'!$B$28+MIN(MAX(MAX(H161,0)-'Tax Tables'!$B$27,0),'Tax Tables'!$B$29)*'Tax Tables'!$B$30,MIN(MAX(H161,0),'Tax Tables'!$B$23)*'Tax Tables'!$B$24+MIN(MAX(MAX(H161,0)-'Tax Tables'!$B$23,0),'Tax Tables'!$B$25)*'Tax Tables'!$B$26))*1-MIN('Tax Tables'!$B$22*(MAX(H161,0)-IF(Calculator!$B$10="Yes",MIN(MAX(H161,0),'Tax Tables'!$B$27)*'Tax Tables'!$B$28+MIN(MAX(MAX(H161,0)-'Tax Tables'!$B$27,0),'Tax Tables'!$B$29)*'Tax Tables'!$B$30,MIN(MAX(H161,0),'Tax Tables'!$B$23)*'Tax Tables'!$B$24+MIN(MAX(MAX(H161,0)-'Tax Tables'!$B$23,0),'Tax Tables'!$B$25)*'Tax Tables'!$B$26))*Calculator!$B$11,Calculator!$B$12)</f>
        <v>37995</v>
      </c>
      <c r="J161" s="11" t="n">
        <f aca="false">MAX(H161,0)-I161</f>
        <v>288005</v>
      </c>
      <c r="K161" s="11" t="n">
        <f aca="false">MIN(IF(A161&gt;0,Calculator!$B$13,0)+E161+Calculator!$B$14,'Tax Tables'!$B$36)</f>
        <v>1000</v>
      </c>
      <c r="L161" s="11" t="n">
        <f aca="false">MAX(A161-K161,0)</f>
        <v>73000</v>
      </c>
      <c r="M161" s="11" t="n">
        <f aca="false">SUMPRODUCT((L161&gt;'Tax Tables'!$A$5:$A$17)*(L161-'Tax Tables'!$A$5:$A$17)*'Tax Tables'!$C$5:$C$17)</f>
        <v>2860</v>
      </c>
      <c r="N161" s="11" t="n">
        <f aca="false">IF(H161&lt;0,-1E+099,A161-E161-M161+J161+(E161+F161)*Calculator!$B$9)</f>
        <v>359145</v>
      </c>
      <c r="O161" s="2"/>
      <c r="P161" s="11" t="n">
        <f aca="false">148*$B$3</f>
        <v>74000</v>
      </c>
      <c r="Q161" s="11" t="n">
        <f aca="false">MIN(P161,'Tax Tables'!$B$31*'Tax Tables'!$B$32)</f>
        <v>74000</v>
      </c>
      <c r="R161" s="11" t="n">
        <f aca="false">P161-Q161</f>
        <v>0</v>
      </c>
      <c r="S161" s="11" t="n">
        <f aca="false">IF(Calculator!$B$6="Yes",MIN(Q161,'Tax Tables'!$B$31*'Tax Tables'!$B$32),0)</f>
        <v>74000</v>
      </c>
      <c r="T161" s="11" t="n">
        <f aca="false">S161*Calculator!$B$7</f>
        <v>14800</v>
      </c>
      <c r="U161" s="11" t="n">
        <f aca="false">S161*Calculator!$B$8</f>
        <v>12580</v>
      </c>
      <c r="V161" s="11" t="n">
        <f aca="false">IF(Q161&gt;0,'Tax Tables'!$B$32*MIN(MAX(Q161/'Tax Tables'!$B$32*'Tax Tables'!$B$33,'Tax Tables'!$B$34),'Tax Tables'!$B$35),0)</f>
        <v>135</v>
      </c>
      <c r="W161" s="11" t="n">
        <f aca="false">Calculator!$B$5-P161-U161-V161</f>
        <v>313285</v>
      </c>
      <c r="X161" s="11" t="n">
        <f aca="false">'Tax Tables'!$B$22*(MAX(W161,0)-IF(Calculator!$B$10="Yes",MIN(MAX(W161,0),'Tax Tables'!$B$27)*'Tax Tables'!$B$28+MIN(MAX(MAX(W161,0)-'Tax Tables'!$B$27,0),'Tax Tables'!$B$29)*'Tax Tables'!$B$30,MIN(MAX(W161,0),'Tax Tables'!$B$23)*'Tax Tables'!$B$24+MIN(MAX(MAX(W161,0)-'Tax Tables'!$B$23,0),'Tax Tables'!$B$25)*'Tax Tables'!$B$26))*1-MIN('Tax Tables'!$B$22*(MAX(W161,0)-IF(Calculator!$B$10="Yes",MIN(MAX(W161,0),'Tax Tables'!$B$27)*'Tax Tables'!$B$28+MIN(MAX(MAX(W161,0)-'Tax Tables'!$B$27,0),'Tax Tables'!$B$29)*'Tax Tables'!$B$30,MIN(MAX(W161,0),'Tax Tables'!$B$23)*'Tax Tables'!$B$24+MIN(MAX(MAX(W161,0)-'Tax Tables'!$B$23,0),'Tax Tables'!$B$25)*'Tax Tables'!$B$26))*Calculator!$B$11,Calculator!$B$12)</f>
        <v>35833.45</v>
      </c>
      <c r="Y161" s="11" t="n">
        <f aca="false">MAX(W161,0)-X161</f>
        <v>277451.55</v>
      </c>
      <c r="Z161" s="11" t="n">
        <f aca="false">MIN(IF(P161&gt;0,Calculator!$B$13,0)+T161+Calculator!$B$14,'Tax Tables'!$B$36)</f>
        <v>15800</v>
      </c>
      <c r="AA161" s="11" t="n">
        <f aca="false">MAX(P161-Z161,0)</f>
        <v>58200</v>
      </c>
      <c r="AB161" s="11" t="n">
        <f aca="false">SUMPRODUCT((AA161&gt;'Tax Tables'!$A$5:$A$17)*(AA161-'Tax Tables'!$A$5:$A$17)*'Tax Tables'!$C$5:$C$17)</f>
        <v>1824</v>
      </c>
      <c r="AC161" s="11" t="n">
        <f aca="false">IF(W161&lt;0,-1E+099,P161-T161-AB161+Y161+(T161+U161)*Calculator!$B$9)</f>
        <v>362207.55</v>
      </c>
    </row>
    <row r="162" customFormat="false" ht="15" hidden="false" customHeight="false" outlineLevel="0" collapsed="false">
      <c r="A162" s="11" t="n">
        <f aca="false">149*$B$3</f>
        <v>74500</v>
      </c>
      <c r="B162" s="11" t="n">
        <f aca="false">0</f>
        <v>0</v>
      </c>
      <c r="C162" s="11" t="n">
        <f aca="false">A162-B162</f>
        <v>74500</v>
      </c>
      <c r="D162" s="11" t="n">
        <f aca="false">IF(Calculator!$B$6="Yes",MIN(B162,'Tax Tables'!$B$31*'Tax Tables'!$B$32),0)</f>
        <v>0</v>
      </c>
      <c r="E162" s="11" t="n">
        <f aca="false">D162*Calculator!$B$7</f>
        <v>0</v>
      </c>
      <c r="F162" s="11" t="n">
        <f aca="false">D162*Calculator!$B$8</f>
        <v>0</v>
      </c>
      <c r="G162" s="11" t="n">
        <f aca="false">IF(B162&gt;0,'Tax Tables'!$B$32*MIN(MAX(B162/'Tax Tables'!$B$32*'Tax Tables'!$B$33,'Tax Tables'!$B$34),'Tax Tables'!$B$35),0)</f>
        <v>0</v>
      </c>
      <c r="H162" s="11" t="n">
        <f aca="false">Calculator!$B$5-A162-F162-G162</f>
        <v>325500</v>
      </c>
      <c r="I162" s="11" t="n">
        <f aca="false">'Tax Tables'!$B$22*(MAX(H162,0)-IF(Calculator!$B$10="Yes",MIN(MAX(H162,0),'Tax Tables'!$B$27)*'Tax Tables'!$B$28+MIN(MAX(MAX(H162,0)-'Tax Tables'!$B$27,0),'Tax Tables'!$B$29)*'Tax Tables'!$B$30,MIN(MAX(H162,0),'Tax Tables'!$B$23)*'Tax Tables'!$B$24+MIN(MAX(MAX(H162,0)-'Tax Tables'!$B$23,0),'Tax Tables'!$B$25)*'Tax Tables'!$B$26))*1-MIN('Tax Tables'!$B$22*(MAX(H162,0)-IF(Calculator!$B$10="Yes",MIN(MAX(H162,0),'Tax Tables'!$B$27)*'Tax Tables'!$B$28+MIN(MAX(MAX(H162,0)-'Tax Tables'!$B$27,0),'Tax Tables'!$B$29)*'Tax Tables'!$B$30,MIN(MAX(H162,0),'Tax Tables'!$B$23)*'Tax Tables'!$B$24+MIN(MAX(MAX(H162,0)-'Tax Tables'!$B$23,0),'Tax Tables'!$B$25)*'Tax Tables'!$B$26))*Calculator!$B$11,Calculator!$B$12)</f>
        <v>37910</v>
      </c>
      <c r="J162" s="11" t="n">
        <f aca="false">MAX(H162,0)-I162</f>
        <v>287590</v>
      </c>
      <c r="K162" s="11" t="n">
        <f aca="false">MIN(IF(A162&gt;0,Calculator!$B$13,0)+E162+Calculator!$B$14,'Tax Tables'!$B$36)</f>
        <v>1000</v>
      </c>
      <c r="L162" s="11" t="n">
        <f aca="false">MAX(A162-K162,0)</f>
        <v>73500</v>
      </c>
      <c r="M162" s="11" t="n">
        <f aca="false">SUMPRODUCT((L162&gt;'Tax Tables'!$A$5:$A$17)*(L162-'Tax Tables'!$A$5:$A$17)*'Tax Tables'!$C$5:$C$17)</f>
        <v>2895</v>
      </c>
      <c r="N162" s="11" t="n">
        <f aca="false">IF(H162&lt;0,-1E+099,A162-E162-M162+J162+(E162+F162)*Calculator!$B$9)</f>
        <v>359195</v>
      </c>
      <c r="O162" s="2"/>
      <c r="P162" s="11" t="n">
        <f aca="false">149*$B$3</f>
        <v>74500</v>
      </c>
      <c r="Q162" s="11" t="n">
        <f aca="false">MIN(P162,'Tax Tables'!$B$31*'Tax Tables'!$B$32)</f>
        <v>74500</v>
      </c>
      <c r="R162" s="11" t="n">
        <f aca="false">P162-Q162</f>
        <v>0</v>
      </c>
      <c r="S162" s="11" t="n">
        <f aca="false">IF(Calculator!$B$6="Yes",MIN(Q162,'Tax Tables'!$B$31*'Tax Tables'!$B$32),0)</f>
        <v>74500</v>
      </c>
      <c r="T162" s="11" t="n">
        <f aca="false">S162*Calculator!$B$7</f>
        <v>14900</v>
      </c>
      <c r="U162" s="11" t="n">
        <f aca="false">S162*Calculator!$B$8</f>
        <v>12665</v>
      </c>
      <c r="V162" s="11" t="n">
        <f aca="false">IF(Q162&gt;0,'Tax Tables'!$B$32*MIN(MAX(Q162/'Tax Tables'!$B$32*'Tax Tables'!$B$33,'Tax Tables'!$B$34),'Tax Tables'!$B$35),0)</f>
        <v>135</v>
      </c>
      <c r="W162" s="11" t="n">
        <f aca="false">Calculator!$B$5-P162-U162-V162</f>
        <v>312700</v>
      </c>
      <c r="X162" s="11" t="n">
        <f aca="false">'Tax Tables'!$B$22*(MAX(W162,0)-IF(Calculator!$B$10="Yes",MIN(MAX(W162,0),'Tax Tables'!$B$27)*'Tax Tables'!$B$28+MIN(MAX(MAX(W162,0)-'Tax Tables'!$B$27,0),'Tax Tables'!$B$29)*'Tax Tables'!$B$30,MIN(MAX(W162,0),'Tax Tables'!$B$23)*'Tax Tables'!$B$24+MIN(MAX(MAX(W162,0)-'Tax Tables'!$B$23,0),'Tax Tables'!$B$25)*'Tax Tables'!$B$26))*1-MIN('Tax Tables'!$B$22*(MAX(W162,0)-IF(Calculator!$B$10="Yes",MIN(MAX(W162,0),'Tax Tables'!$B$27)*'Tax Tables'!$B$28+MIN(MAX(MAX(W162,0)-'Tax Tables'!$B$27,0),'Tax Tables'!$B$29)*'Tax Tables'!$B$30,MIN(MAX(W162,0),'Tax Tables'!$B$23)*'Tax Tables'!$B$24+MIN(MAX(MAX(W162,0)-'Tax Tables'!$B$23,0),'Tax Tables'!$B$25)*'Tax Tables'!$B$26))*Calculator!$B$11,Calculator!$B$12)</f>
        <v>35734</v>
      </c>
      <c r="Y162" s="11" t="n">
        <f aca="false">MAX(W162,0)-X162</f>
        <v>276966</v>
      </c>
      <c r="Z162" s="11" t="n">
        <f aca="false">MIN(IF(P162&gt;0,Calculator!$B$13,0)+T162+Calculator!$B$14,'Tax Tables'!$B$36)</f>
        <v>15900</v>
      </c>
      <c r="AA162" s="11" t="n">
        <f aca="false">MAX(P162-Z162,0)</f>
        <v>58600</v>
      </c>
      <c r="AB162" s="11" t="n">
        <f aca="false">SUMPRODUCT((AA162&gt;'Tax Tables'!$A$5:$A$17)*(AA162-'Tax Tables'!$A$5:$A$17)*'Tax Tables'!$C$5:$C$17)</f>
        <v>1852</v>
      </c>
      <c r="AC162" s="11" t="n">
        <f aca="false">IF(W162&lt;0,-1E+099,P162-T162-AB162+Y162+(T162+U162)*Calculator!$B$9)</f>
        <v>362279</v>
      </c>
    </row>
    <row r="163" customFormat="false" ht="15" hidden="false" customHeight="false" outlineLevel="0" collapsed="false">
      <c r="A163" s="11" t="n">
        <f aca="false">150*$B$3</f>
        <v>75000</v>
      </c>
      <c r="B163" s="11" t="n">
        <f aca="false">0</f>
        <v>0</v>
      </c>
      <c r="C163" s="11" t="n">
        <f aca="false">A163-B163</f>
        <v>75000</v>
      </c>
      <c r="D163" s="11" t="n">
        <f aca="false">IF(Calculator!$B$6="Yes",MIN(B163,'Tax Tables'!$B$31*'Tax Tables'!$B$32),0)</f>
        <v>0</v>
      </c>
      <c r="E163" s="11" t="n">
        <f aca="false">D163*Calculator!$B$7</f>
        <v>0</v>
      </c>
      <c r="F163" s="11" t="n">
        <f aca="false">D163*Calculator!$B$8</f>
        <v>0</v>
      </c>
      <c r="G163" s="11" t="n">
        <f aca="false">IF(B163&gt;0,'Tax Tables'!$B$32*MIN(MAX(B163/'Tax Tables'!$B$32*'Tax Tables'!$B$33,'Tax Tables'!$B$34),'Tax Tables'!$B$35),0)</f>
        <v>0</v>
      </c>
      <c r="H163" s="11" t="n">
        <f aca="false">Calculator!$B$5-A163-F163-G163</f>
        <v>325000</v>
      </c>
      <c r="I163" s="11" t="n">
        <f aca="false">'Tax Tables'!$B$22*(MAX(H163,0)-IF(Calculator!$B$10="Yes",MIN(MAX(H163,0),'Tax Tables'!$B$27)*'Tax Tables'!$B$28+MIN(MAX(MAX(H163,0)-'Tax Tables'!$B$27,0),'Tax Tables'!$B$29)*'Tax Tables'!$B$30,MIN(MAX(H163,0),'Tax Tables'!$B$23)*'Tax Tables'!$B$24+MIN(MAX(MAX(H163,0)-'Tax Tables'!$B$23,0),'Tax Tables'!$B$25)*'Tax Tables'!$B$26))*1-MIN('Tax Tables'!$B$22*(MAX(H163,0)-IF(Calculator!$B$10="Yes",MIN(MAX(H163,0),'Tax Tables'!$B$27)*'Tax Tables'!$B$28+MIN(MAX(MAX(H163,0)-'Tax Tables'!$B$27,0),'Tax Tables'!$B$29)*'Tax Tables'!$B$30,MIN(MAX(H163,0),'Tax Tables'!$B$23)*'Tax Tables'!$B$24+MIN(MAX(MAX(H163,0)-'Tax Tables'!$B$23,0),'Tax Tables'!$B$25)*'Tax Tables'!$B$26))*Calculator!$B$11,Calculator!$B$12)</f>
        <v>37825</v>
      </c>
      <c r="J163" s="11" t="n">
        <f aca="false">MAX(H163,0)-I163</f>
        <v>287175</v>
      </c>
      <c r="K163" s="11" t="n">
        <f aca="false">MIN(IF(A163&gt;0,Calculator!$B$13,0)+E163+Calculator!$B$14,'Tax Tables'!$B$36)</f>
        <v>1000</v>
      </c>
      <c r="L163" s="11" t="n">
        <f aca="false">MAX(A163-K163,0)</f>
        <v>74000</v>
      </c>
      <c r="M163" s="11" t="n">
        <f aca="false">SUMPRODUCT((L163&gt;'Tax Tables'!$A$5:$A$17)*(L163-'Tax Tables'!$A$5:$A$17)*'Tax Tables'!$C$5:$C$17)</f>
        <v>2930</v>
      </c>
      <c r="N163" s="11" t="n">
        <f aca="false">IF(H163&lt;0,-1E+099,A163-E163-M163+J163+(E163+F163)*Calculator!$B$9)</f>
        <v>359245</v>
      </c>
      <c r="O163" s="2"/>
      <c r="P163" s="11" t="n">
        <f aca="false">150*$B$3</f>
        <v>75000</v>
      </c>
      <c r="Q163" s="11" t="n">
        <f aca="false">MIN(P163,'Tax Tables'!$B$31*'Tax Tables'!$B$32)</f>
        <v>75000</v>
      </c>
      <c r="R163" s="11" t="n">
        <f aca="false">P163-Q163</f>
        <v>0</v>
      </c>
      <c r="S163" s="11" t="n">
        <f aca="false">IF(Calculator!$B$6="Yes",MIN(Q163,'Tax Tables'!$B$31*'Tax Tables'!$B$32),0)</f>
        <v>75000</v>
      </c>
      <c r="T163" s="11" t="n">
        <f aca="false">S163*Calculator!$B$7</f>
        <v>15000</v>
      </c>
      <c r="U163" s="11" t="n">
        <f aca="false">S163*Calculator!$B$8</f>
        <v>12750</v>
      </c>
      <c r="V163" s="11" t="n">
        <f aca="false">IF(Q163&gt;0,'Tax Tables'!$B$32*MIN(MAX(Q163/'Tax Tables'!$B$32*'Tax Tables'!$B$33,'Tax Tables'!$B$34),'Tax Tables'!$B$35),0)</f>
        <v>135</v>
      </c>
      <c r="W163" s="11" t="n">
        <f aca="false">Calculator!$B$5-P163-U163-V163</f>
        <v>312115</v>
      </c>
      <c r="X163" s="11" t="n">
        <f aca="false">'Tax Tables'!$B$22*(MAX(W163,0)-IF(Calculator!$B$10="Yes",MIN(MAX(W163,0),'Tax Tables'!$B$27)*'Tax Tables'!$B$28+MIN(MAX(MAX(W163,0)-'Tax Tables'!$B$27,0),'Tax Tables'!$B$29)*'Tax Tables'!$B$30,MIN(MAX(W163,0),'Tax Tables'!$B$23)*'Tax Tables'!$B$24+MIN(MAX(MAX(W163,0)-'Tax Tables'!$B$23,0),'Tax Tables'!$B$25)*'Tax Tables'!$B$26))*1-MIN('Tax Tables'!$B$22*(MAX(W163,0)-IF(Calculator!$B$10="Yes",MIN(MAX(W163,0),'Tax Tables'!$B$27)*'Tax Tables'!$B$28+MIN(MAX(MAX(W163,0)-'Tax Tables'!$B$27,0),'Tax Tables'!$B$29)*'Tax Tables'!$B$30,MIN(MAX(W163,0),'Tax Tables'!$B$23)*'Tax Tables'!$B$24+MIN(MAX(MAX(W163,0)-'Tax Tables'!$B$23,0),'Tax Tables'!$B$25)*'Tax Tables'!$B$26))*Calculator!$B$11,Calculator!$B$12)</f>
        <v>35634.55</v>
      </c>
      <c r="Y163" s="11" t="n">
        <f aca="false">MAX(W163,0)-X163</f>
        <v>276480.45</v>
      </c>
      <c r="Z163" s="11" t="n">
        <f aca="false">MIN(IF(P163&gt;0,Calculator!$B$13,0)+T163+Calculator!$B$14,'Tax Tables'!$B$36)</f>
        <v>16000</v>
      </c>
      <c r="AA163" s="11" t="n">
        <f aca="false">MAX(P163-Z163,0)</f>
        <v>59000</v>
      </c>
      <c r="AB163" s="11" t="n">
        <f aca="false">SUMPRODUCT((AA163&gt;'Tax Tables'!$A$5:$A$17)*(AA163-'Tax Tables'!$A$5:$A$17)*'Tax Tables'!$C$5:$C$17)</f>
        <v>1880</v>
      </c>
      <c r="AC163" s="11" t="n">
        <f aca="false">IF(W163&lt;0,-1E+099,P163-T163-AB163+Y163+(T163+U163)*Calculator!$B$9)</f>
        <v>362350.45</v>
      </c>
    </row>
    <row r="164" customFormat="false" ht="15" hidden="false" customHeight="false" outlineLevel="0" collapsed="false">
      <c r="A164" s="11" t="n">
        <f aca="false">151*$B$3</f>
        <v>75500</v>
      </c>
      <c r="B164" s="11" t="n">
        <f aca="false">0</f>
        <v>0</v>
      </c>
      <c r="C164" s="11" t="n">
        <f aca="false">A164-B164</f>
        <v>75500</v>
      </c>
      <c r="D164" s="11" t="n">
        <f aca="false">IF(Calculator!$B$6="Yes",MIN(B164,'Tax Tables'!$B$31*'Tax Tables'!$B$32),0)</f>
        <v>0</v>
      </c>
      <c r="E164" s="11" t="n">
        <f aca="false">D164*Calculator!$B$7</f>
        <v>0</v>
      </c>
      <c r="F164" s="11" t="n">
        <f aca="false">D164*Calculator!$B$8</f>
        <v>0</v>
      </c>
      <c r="G164" s="11" t="n">
        <f aca="false">IF(B164&gt;0,'Tax Tables'!$B$32*MIN(MAX(B164/'Tax Tables'!$B$32*'Tax Tables'!$B$33,'Tax Tables'!$B$34),'Tax Tables'!$B$35),0)</f>
        <v>0</v>
      </c>
      <c r="H164" s="11" t="n">
        <f aca="false">Calculator!$B$5-A164-F164-G164</f>
        <v>324500</v>
      </c>
      <c r="I164" s="11" t="n">
        <f aca="false">'Tax Tables'!$B$22*(MAX(H164,0)-IF(Calculator!$B$10="Yes",MIN(MAX(H164,0),'Tax Tables'!$B$27)*'Tax Tables'!$B$28+MIN(MAX(MAX(H164,0)-'Tax Tables'!$B$27,0),'Tax Tables'!$B$29)*'Tax Tables'!$B$30,MIN(MAX(H164,0),'Tax Tables'!$B$23)*'Tax Tables'!$B$24+MIN(MAX(MAX(H164,0)-'Tax Tables'!$B$23,0),'Tax Tables'!$B$25)*'Tax Tables'!$B$26))*1-MIN('Tax Tables'!$B$22*(MAX(H164,0)-IF(Calculator!$B$10="Yes",MIN(MAX(H164,0),'Tax Tables'!$B$27)*'Tax Tables'!$B$28+MIN(MAX(MAX(H164,0)-'Tax Tables'!$B$27,0),'Tax Tables'!$B$29)*'Tax Tables'!$B$30,MIN(MAX(H164,0),'Tax Tables'!$B$23)*'Tax Tables'!$B$24+MIN(MAX(MAX(H164,0)-'Tax Tables'!$B$23,0),'Tax Tables'!$B$25)*'Tax Tables'!$B$26))*Calculator!$B$11,Calculator!$B$12)</f>
        <v>37740</v>
      </c>
      <c r="J164" s="11" t="n">
        <f aca="false">MAX(H164,0)-I164</f>
        <v>286760</v>
      </c>
      <c r="K164" s="11" t="n">
        <f aca="false">MIN(IF(A164&gt;0,Calculator!$B$13,0)+E164+Calculator!$B$14,'Tax Tables'!$B$36)</f>
        <v>1000</v>
      </c>
      <c r="L164" s="11" t="n">
        <f aca="false">MAX(A164-K164,0)</f>
        <v>74500</v>
      </c>
      <c r="M164" s="11" t="n">
        <f aca="false">SUMPRODUCT((L164&gt;'Tax Tables'!$A$5:$A$17)*(L164-'Tax Tables'!$A$5:$A$17)*'Tax Tables'!$C$5:$C$17)</f>
        <v>2965</v>
      </c>
      <c r="N164" s="11" t="n">
        <f aca="false">IF(H164&lt;0,-1E+099,A164-E164-M164+J164+(E164+F164)*Calculator!$B$9)</f>
        <v>359295</v>
      </c>
      <c r="O164" s="2"/>
      <c r="P164" s="11" t="n">
        <f aca="false">151*$B$3</f>
        <v>75500</v>
      </c>
      <c r="Q164" s="11" t="n">
        <f aca="false">MIN(P164,'Tax Tables'!$B$31*'Tax Tables'!$B$32)</f>
        <v>75500</v>
      </c>
      <c r="R164" s="11" t="n">
        <f aca="false">P164-Q164</f>
        <v>0</v>
      </c>
      <c r="S164" s="11" t="n">
        <f aca="false">IF(Calculator!$B$6="Yes",MIN(Q164,'Tax Tables'!$B$31*'Tax Tables'!$B$32),0)</f>
        <v>75500</v>
      </c>
      <c r="T164" s="11" t="n">
        <f aca="false">S164*Calculator!$B$7</f>
        <v>15100</v>
      </c>
      <c r="U164" s="11" t="n">
        <f aca="false">S164*Calculator!$B$8</f>
        <v>12835</v>
      </c>
      <c r="V164" s="11" t="n">
        <f aca="false">IF(Q164&gt;0,'Tax Tables'!$B$32*MIN(MAX(Q164/'Tax Tables'!$B$32*'Tax Tables'!$B$33,'Tax Tables'!$B$34),'Tax Tables'!$B$35),0)</f>
        <v>135</v>
      </c>
      <c r="W164" s="11" t="n">
        <f aca="false">Calculator!$B$5-P164-U164-V164</f>
        <v>311530</v>
      </c>
      <c r="X164" s="11" t="n">
        <f aca="false">'Tax Tables'!$B$22*(MAX(W164,0)-IF(Calculator!$B$10="Yes",MIN(MAX(W164,0),'Tax Tables'!$B$27)*'Tax Tables'!$B$28+MIN(MAX(MAX(W164,0)-'Tax Tables'!$B$27,0),'Tax Tables'!$B$29)*'Tax Tables'!$B$30,MIN(MAX(W164,0),'Tax Tables'!$B$23)*'Tax Tables'!$B$24+MIN(MAX(MAX(W164,0)-'Tax Tables'!$B$23,0),'Tax Tables'!$B$25)*'Tax Tables'!$B$26))*1-MIN('Tax Tables'!$B$22*(MAX(W164,0)-IF(Calculator!$B$10="Yes",MIN(MAX(W164,0),'Tax Tables'!$B$27)*'Tax Tables'!$B$28+MIN(MAX(MAX(W164,0)-'Tax Tables'!$B$27,0),'Tax Tables'!$B$29)*'Tax Tables'!$B$30,MIN(MAX(W164,0),'Tax Tables'!$B$23)*'Tax Tables'!$B$24+MIN(MAX(MAX(W164,0)-'Tax Tables'!$B$23,0),'Tax Tables'!$B$25)*'Tax Tables'!$B$26))*Calculator!$B$11,Calculator!$B$12)</f>
        <v>35535.1</v>
      </c>
      <c r="Y164" s="11" t="n">
        <f aca="false">MAX(W164,0)-X164</f>
        <v>275994.9</v>
      </c>
      <c r="Z164" s="11" t="n">
        <f aca="false">MIN(IF(P164&gt;0,Calculator!$B$13,0)+T164+Calculator!$B$14,'Tax Tables'!$B$36)</f>
        <v>16100</v>
      </c>
      <c r="AA164" s="11" t="n">
        <f aca="false">MAX(P164-Z164,0)</f>
        <v>59400</v>
      </c>
      <c r="AB164" s="11" t="n">
        <f aca="false">SUMPRODUCT((AA164&gt;'Tax Tables'!$A$5:$A$17)*(AA164-'Tax Tables'!$A$5:$A$17)*'Tax Tables'!$C$5:$C$17)</f>
        <v>1908</v>
      </c>
      <c r="AC164" s="11" t="n">
        <f aca="false">IF(W164&lt;0,-1E+099,P164-T164-AB164+Y164+(T164+U164)*Calculator!$B$9)</f>
        <v>362421.9</v>
      </c>
    </row>
    <row r="165" customFormat="false" ht="15" hidden="false" customHeight="false" outlineLevel="0" collapsed="false">
      <c r="A165" s="11" t="n">
        <f aca="false">152*$B$3</f>
        <v>76000</v>
      </c>
      <c r="B165" s="11" t="n">
        <f aca="false">0</f>
        <v>0</v>
      </c>
      <c r="C165" s="11" t="n">
        <f aca="false">A165-B165</f>
        <v>76000</v>
      </c>
      <c r="D165" s="11" t="n">
        <f aca="false">IF(Calculator!$B$6="Yes",MIN(B165,'Tax Tables'!$B$31*'Tax Tables'!$B$32),0)</f>
        <v>0</v>
      </c>
      <c r="E165" s="11" t="n">
        <f aca="false">D165*Calculator!$B$7</f>
        <v>0</v>
      </c>
      <c r="F165" s="11" t="n">
        <f aca="false">D165*Calculator!$B$8</f>
        <v>0</v>
      </c>
      <c r="G165" s="11" t="n">
        <f aca="false">IF(B165&gt;0,'Tax Tables'!$B$32*MIN(MAX(B165/'Tax Tables'!$B$32*'Tax Tables'!$B$33,'Tax Tables'!$B$34),'Tax Tables'!$B$35),0)</f>
        <v>0</v>
      </c>
      <c r="H165" s="11" t="n">
        <f aca="false">Calculator!$B$5-A165-F165-G165</f>
        <v>324000</v>
      </c>
      <c r="I165" s="11" t="n">
        <f aca="false">'Tax Tables'!$B$22*(MAX(H165,0)-IF(Calculator!$B$10="Yes",MIN(MAX(H165,0),'Tax Tables'!$B$27)*'Tax Tables'!$B$28+MIN(MAX(MAX(H165,0)-'Tax Tables'!$B$27,0),'Tax Tables'!$B$29)*'Tax Tables'!$B$30,MIN(MAX(H165,0),'Tax Tables'!$B$23)*'Tax Tables'!$B$24+MIN(MAX(MAX(H165,0)-'Tax Tables'!$B$23,0),'Tax Tables'!$B$25)*'Tax Tables'!$B$26))*1-MIN('Tax Tables'!$B$22*(MAX(H165,0)-IF(Calculator!$B$10="Yes",MIN(MAX(H165,0),'Tax Tables'!$B$27)*'Tax Tables'!$B$28+MIN(MAX(MAX(H165,0)-'Tax Tables'!$B$27,0),'Tax Tables'!$B$29)*'Tax Tables'!$B$30,MIN(MAX(H165,0),'Tax Tables'!$B$23)*'Tax Tables'!$B$24+MIN(MAX(MAX(H165,0)-'Tax Tables'!$B$23,0),'Tax Tables'!$B$25)*'Tax Tables'!$B$26))*Calculator!$B$11,Calculator!$B$12)</f>
        <v>37655</v>
      </c>
      <c r="J165" s="11" t="n">
        <f aca="false">MAX(H165,0)-I165</f>
        <v>286345</v>
      </c>
      <c r="K165" s="11" t="n">
        <f aca="false">MIN(IF(A165&gt;0,Calculator!$B$13,0)+E165+Calculator!$B$14,'Tax Tables'!$B$36)</f>
        <v>1000</v>
      </c>
      <c r="L165" s="11" t="n">
        <f aca="false">MAX(A165-K165,0)</f>
        <v>75000</v>
      </c>
      <c r="M165" s="11" t="n">
        <f aca="false">SUMPRODUCT((L165&gt;'Tax Tables'!$A$5:$A$17)*(L165-'Tax Tables'!$A$5:$A$17)*'Tax Tables'!$C$5:$C$17)</f>
        <v>3000</v>
      </c>
      <c r="N165" s="11" t="n">
        <f aca="false">IF(H165&lt;0,-1E+099,A165-E165-M165+J165+(E165+F165)*Calculator!$B$9)</f>
        <v>359345</v>
      </c>
      <c r="O165" s="2"/>
      <c r="P165" s="11" t="n">
        <f aca="false">152*$B$3</f>
        <v>76000</v>
      </c>
      <c r="Q165" s="11" t="n">
        <f aca="false">MIN(P165,'Tax Tables'!$B$31*'Tax Tables'!$B$32)</f>
        <v>76000</v>
      </c>
      <c r="R165" s="11" t="n">
        <f aca="false">P165-Q165</f>
        <v>0</v>
      </c>
      <c r="S165" s="11" t="n">
        <f aca="false">IF(Calculator!$B$6="Yes",MIN(Q165,'Tax Tables'!$B$31*'Tax Tables'!$B$32),0)</f>
        <v>76000</v>
      </c>
      <c r="T165" s="11" t="n">
        <f aca="false">S165*Calculator!$B$7</f>
        <v>15200</v>
      </c>
      <c r="U165" s="11" t="n">
        <f aca="false">S165*Calculator!$B$8</f>
        <v>12920</v>
      </c>
      <c r="V165" s="11" t="n">
        <f aca="false">IF(Q165&gt;0,'Tax Tables'!$B$32*MIN(MAX(Q165/'Tax Tables'!$B$32*'Tax Tables'!$B$33,'Tax Tables'!$B$34),'Tax Tables'!$B$35),0)</f>
        <v>135</v>
      </c>
      <c r="W165" s="11" t="n">
        <f aca="false">Calculator!$B$5-P165-U165-V165</f>
        <v>310945</v>
      </c>
      <c r="X165" s="11" t="n">
        <f aca="false">'Tax Tables'!$B$22*(MAX(W165,0)-IF(Calculator!$B$10="Yes",MIN(MAX(W165,0),'Tax Tables'!$B$27)*'Tax Tables'!$B$28+MIN(MAX(MAX(W165,0)-'Tax Tables'!$B$27,0),'Tax Tables'!$B$29)*'Tax Tables'!$B$30,MIN(MAX(W165,0),'Tax Tables'!$B$23)*'Tax Tables'!$B$24+MIN(MAX(MAX(W165,0)-'Tax Tables'!$B$23,0),'Tax Tables'!$B$25)*'Tax Tables'!$B$26))*1-MIN('Tax Tables'!$B$22*(MAX(W165,0)-IF(Calculator!$B$10="Yes",MIN(MAX(W165,0),'Tax Tables'!$B$27)*'Tax Tables'!$B$28+MIN(MAX(MAX(W165,0)-'Tax Tables'!$B$27,0),'Tax Tables'!$B$29)*'Tax Tables'!$B$30,MIN(MAX(W165,0),'Tax Tables'!$B$23)*'Tax Tables'!$B$24+MIN(MAX(MAX(W165,0)-'Tax Tables'!$B$23,0),'Tax Tables'!$B$25)*'Tax Tables'!$B$26))*Calculator!$B$11,Calculator!$B$12)</f>
        <v>35435.65</v>
      </c>
      <c r="Y165" s="11" t="n">
        <f aca="false">MAX(W165,0)-X165</f>
        <v>275509.35</v>
      </c>
      <c r="Z165" s="11" t="n">
        <f aca="false">MIN(IF(P165&gt;0,Calculator!$B$13,0)+T165+Calculator!$B$14,'Tax Tables'!$B$36)</f>
        <v>16200</v>
      </c>
      <c r="AA165" s="11" t="n">
        <f aca="false">MAX(P165-Z165,0)</f>
        <v>59800</v>
      </c>
      <c r="AB165" s="11" t="n">
        <f aca="false">SUMPRODUCT((AA165&gt;'Tax Tables'!$A$5:$A$17)*(AA165-'Tax Tables'!$A$5:$A$17)*'Tax Tables'!$C$5:$C$17)</f>
        <v>1936</v>
      </c>
      <c r="AC165" s="11" t="n">
        <f aca="false">IF(W165&lt;0,-1E+099,P165-T165-AB165+Y165+(T165+U165)*Calculator!$B$9)</f>
        <v>362493.35</v>
      </c>
    </row>
    <row r="166" customFormat="false" ht="15" hidden="false" customHeight="false" outlineLevel="0" collapsed="false">
      <c r="A166" s="11" t="n">
        <f aca="false">153*$B$3</f>
        <v>76500</v>
      </c>
      <c r="B166" s="11" t="n">
        <f aca="false">0</f>
        <v>0</v>
      </c>
      <c r="C166" s="11" t="n">
        <f aca="false">A166-B166</f>
        <v>76500</v>
      </c>
      <c r="D166" s="11" t="n">
        <f aca="false">IF(Calculator!$B$6="Yes",MIN(B166,'Tax Tables'!$B$31*'Tax Tables'!$B$32),0)</f>
        <v>0</v>
      </c>
      <c r="E166" s="11" t="n">
        <f aca="false">D166*Calculator!$B$7</f>
        <v>0</v>
      </c>
      <c r="F166" s="11" t="n">
        <f aca="false">D166*Calculator!$B$8</f>
        <v>0</v>
      </c>
      <c r="G166" s="11" t="n">
        <f aca="false">IF(B166&gt;0,'Tax Tables'!$B$32*MIN(MAX(B166/'Tax Tables'!$B$32*'Tax Tables'!$B$33,'Tax Tables'!$B$34),'Tax Tables'!$B$35),0)</f>
        <v>0</v>
      </c>
      <c r="H166" s="11" t="n">
        <f aca="false">Calculator!$B$5-A166-F166-G166</f>
        <v>323500</v>
      </c>
      <c r="I166" s="11" t="n">
        <f aca="false">'Tax Tables'!$B$22*(MAX(H166,0)-IF(Calculator!$B$10="Yes",MIN(MAX(H166,0),'Tax Tables'!$B$27)*'Tax Tables'!$B$28+MIN(MAX(MAX(H166,0)-'Tax Tables'!$B$27,0),'Tax Tables'!$B$29)*'Tax Tables'!$B$30,MIN(MAX(H166,0),'Tax Tables'!$B$23)*'Tax Tables'!$B$24+MIN(MAX(MAX(H166,0)-'Tax Tables'!$B$23,0),'Tax Tables'!$B$25)*'Tax Tables'!$B$26))*1-MIN('Tax Tables'!$B$22*(MAX(H166,0)-IF(Calculator!$B$10="Yes",MIN(MAX(H166,0),'Tax Tables'!$B$27)*'Tax Tables'!$B$28+MIN(MAX(MAX(H166,0)-'Tax Tables'!$B$27,0),'Tax Tables'!$B$29)*'Tax Tables'!$B$30,MIN(MAX(H166,0),'Tax Tables'!$B$23)*'Tax Tables'!$B$24+MIN(MAX(MAX(H166,0)-'Tax Tables'!$B$23,0),'Tax Tables'!$B$25)*'Tax Tables'!$B$26))*Calculator!$B$11,Calculator!$B$12)</f>
        <v>37570</v>
      </c>
      <c r="J166" s="11" t="n">
        <f aca="false">MAX(H166,0)-I166</f>
        <v>285930</v>
      </c>
      <c r="K166" s="11" t="n">
        <f aca="false">MIN(IF(A166&gt;0,Calculator!$B$13,0)+E166+Calculator!$B$14,'Tax Tables'!$B$36)</f>
        <v>1000</v>
      </c>
      <c r="L166" s="11" t="n">
        <f aca="false">MAX(A166-K166,0)</f>
        <v>75500</v>
      </c>
      <c r="M166" s="11" t="n">
        <f aca="false">SUMPRODUCT((L166&gt;'Tax Tables'!$A$5:$A$17)*(L166-'Tax Tables'!$A$5:$A$17)*'Tax Tables'!$C$5:$C$17)</f>
        <v>3035</v>
      </c>
      <c r="N166" s="11" t="n">
        <f aca="false">IF(H166&lt;0,-1E+099,A166-E166-M166+J166+(E166+F166)*Calculator!$B$9)</f>
        <v>359395</v>
      </c>
      <c r="O166" s="2"/>
      <c r="P166" s="11" t="n">
        <f aca="false">153*$B$3</f>
        <v>76500</v>
      </c>
      <c r="Q166" s="11" t="n">
        <f aca="false">MIN(P166,'Tax Tables'!$B$31*'Tax Tables'!$B$32)</f>
        <v>76500</v>
      </c>
      <c r="R166" s="11" t="n">
        <f aca="false">P166-Q166</f>
        <v>0</v>
      </c>
      <c r="S166" s="11" t="n">
        <f aca="false">IF(Calculator!$B$6="Yes",MIN(Q166,'Tax Tables'!$B$31*'Tax Tables'!$B$32),0)</f>
        <v>76500</v>
      </c>
      <c r="T166" s="11" t="n">
        <f aca="false">S166*Calculator!$B$7</f>
        <v>15300</v>
      </c>
      <c r="U166" s="11" t="n">
        <f aca="false">S166*Calculator!$B$8</f>
        <v>13005</v>
      </c>
      <c r="V166" s="11" t="n">
        <f aca="false">IF(Q166&gt;0,'Tax Tables'!$B$32*MIN(MAX(Q166/'Tax Tables'!$B$32*'Tax Tables'!$B$33,'Tax Tables'!$B$34),'Tax Tables'!$B$35),0)</f>
        <v>135</v>
      </c>
      <c r="W166" s="11" t="n">
        <f aca="false">Calculator!$B$5-P166-U166-V166</f>
        <v>310360</v>
      </c>
      <c r="X166" s="11" t="n">
        <f aca="false">'Tax Tables'!$B$22*(MAX(W166,0)-IF(Calculator!$B$10="Yes",MIN(MAX(W166,0),'Tax Tables'!$B$27)*'Tax Tables'!$B$28+MIN(MAX(MAX(W166,0)-'Tax Tables'!$B$27,0),'Tax Tables'!$B$29)*'Tax Tables'!$B$30,MIN(MAX(W166,0),'Tax Tables'!$B$23)*'Tax Tables'!$B$24+MIN(MAX(MAX(W166,0)-'Tax Tables'!$B$23,0),'Tax Tables'!$B$25)*'Tax Tables'!$B$26))*1-MIN('Tax Tables'!$B$22*(MAX(W166,0)-IF(Calculator!$B$10="Yes",MIN(MAX(W166,0),'Tax Tables'!$B$27)*'Tax Tables'!$B$28+MIN(MAX(MAX(W166,0)-'Tax Tables'!$B$27,0),'Tax Tables'!$B$29)*'Tax Tables'!$B$30,MIN(MAX(W166,0),'Tax Tables'!$B$23)*'Tax Tables'!$B$24+MIN(MAX(MAX(W166,0)-'Tax Tables'!$B$23,0),'Tax Tables'!$B$25)*'Tax Tables'!$B$26))*Calculator!$B$11,Calculator!$B$12)</f>
        <v>35336.2</v>
      </c>
      <c r="Y166" s="11" t="n">
        <f aca="false">MAX(W166,0)-X166</f>
        <v>275023.8</v>
      </c>
      <c r="Z166" s="11" t="n">
        <f aca="false">MIN(IF(P166&gt;0,Calculator!$B$13,0)+T166+Calculator!$B$14,'Tax Tables'!$B$36)</f>
        <v>16300</v>
      </c>
      <c r="AA166" s="11" t="n">
        <f aca="false">MAX(P166-Z166,0)</f>
        <v>60200</v>
      </c>
      <c r="AB166" s="11" t="n">
        <f aca="false">SUMPRODUCT((AA166&gt;'Tax Tables'!$A$5:$A$17)*(AA166-'Tax Tables'!$A$5:$A$17)*'Tax Tables'!$C$5:$C$17)</f>
        <v>1964</v>
      </c>
      <c r="AC166" s="11" t="n">
        <f aca="false">IF(W166&lt;0,-1E+099,P166-T166-AB166+Y166+(T166+U166)*Calculator!$B$9)</f>
        <v>362564.8</v>
      </c>
    </row>
    <row r="167" customFormat="false" ht="15" hidden="false" customHeight="false" outlineLevel="0" collapsed="false">
      <c r="A167" s="11" t="n">
        <f aca="false">154*$B$3</f>
        <v>77000</v>
      </c>
      <c r="B167" s="11" t="n">
        <f aca="false">0</f>
        <v>0</v>
      </c>
      <c r="C167" s="11" t="n">
        <f aca="false">A167-B167</f>
        <v>77000</v>
      </c>
      <c r="D167" s="11" t="n">
        <f aca="false">IF(Calculator!$B$6="Yes",MIN(B167,'Tax Tables'!$B$31*'Tax Tables'!$B$32),0)</f>
        <v>0</v>
      </c>
      <c r="E167" s="11" t="n">
        <f aca="false">D167*Calculator!$B$7</f>
        <v>0</v>
      </c>
      <c r="F167" s="11" t="n">
        <f aca="false">D167*Calculator!$B$8</f>
        <v>0</v>
      </c>
      <c r="G167" s="11" t="n">
        <f aca="false">IF(B167&gt;0,'Tax Tables'!$B$32*MIN(MAX(B167/'Tax Tables'!$B$32*'Tax Tables'!$B$33,'Tax Tables'!$B$34),'Tax Tables'!$B$35),0)</f>
        <v>0</v>
      </c>
      <c r="H167" s="11" t="n">
        <f aca="false">Calculator!$B$5-A167-F167-G167</f>
        <v>323000</v>
      </c>
      <c r="I167" s="11" t="n">
        <f aca="false">'Tax Tables'!$B$22*(MAX(H167,0)-IF(Calculator!$B$10="Yes",MIN(MAX(H167,0),'Tax Tables'!$B$27)*'Tax Tables'!$B$28+MIN(MAX(MAX(H167,0)-'Tax Tables'!$B$27,0),'Tax Tables'!$B$29)*'Tax Tables'!$B$30,MIN(MAX(H167,0),'Tax Tables'!$B$23)*'Tax Tables'!$B$24+MIN(MAX(MAX(H167,0)-'Tax Tables'!$B$23,0),'Tax Tables'!$B$25)*'Tax Tables'!$B$26))*1-MIN('Tax Tables'!$B$22*(MAX(H167,0)-IF(Calculator!$B$10="Yes",MIN(MAX(H167,0),'Tax Tables'!$B$27)*'Tax Tables'!$B$28+MIN(MAX(MAX(H167,0)-'Tax Tables'!$B$27,0),'Tax Tables'!$B$29)*'Tax Tables'!$B$30,MIN(MAX(H167,0),'Tax Tables'!$B$23)*'Tax Tables'!$B$24+MIN(MAX(MAX(H167,0)-'Tax Tables'!$B$23,0),'Tax Tables'!$B$25)*'Tax Tables'!$B$26))*Calculator!$B$11,Calculator!$B$12)</f>
        <v>37485</v>
      </c>
      <c r="J167" s="11" t="n">
        <f aca="false">MAX(H167,0)-I167</f>
        <v>285515</v>
      </c>
      <c r="K167" s="11" t="n">
        <f aca="false">MIN(IF(A167&gt;0,Calculator!$B$13,0)+E167+Calculator!$B$14,'Tax Tables'!$B$36)</f>
        <v>1000</v>
      </c>
      <c r="L167" s="11" t="n">
        <f aca="false">MAX(A167-K167,0)</f>
        <v>76000</v>
      </c>
      <c r="M167" s="11" t="n">
        <f aca="false">SUMPRODUCT((L167&gt;'Tax Tables'!$A$5:$A$17)*(L167-'Tax Tables'!$A$5:$A$17)*'Tax Tables'!$C$5:$C$17)</f>
        <v>3070</v>
      </c>
      <c r="N167" s="11" t="n">
        <f aca="false">IF(H167&lt;0,-1E+099,A167-E167-M167+J167+(E167+F167)*Calculator!$B$9)</f>
        <v>359445</v>
      </c>
      <c r="O167" s="2"/>
      <c r="P167" s="11" t="n">
        <f aca="false">154*$B$3</f>
        <v>77000</v>
      </c>
      <c r="Q167" s="11" t="n">
        <f aca="false">MIN(P167,'Tax Tables'!$B$31*'Tax Tables'!$B$32)</f>
        <v>77000</v>
      </c>
      <c r="R167" s="11" t="n">
        <f aca="false">P167-Q167</f>
        <v>0</v>
      </c>
      <c r="S167" s="11" t="n">
        <f aca="false">IF(Calculator!$B$6="Yes",MIN(Q167,'Tax Tables'!$B$31*'Tax Tables'!$B$32),0)</f>
        <v>77000</v>
      </c>
      <c r="T167" s="11" t="n">
        <f aca="false">S167*Calculator!$B$7</f>
        <v>15400</v>
      </c>
      <c r="U167" s="11" t="n">
        <f aca="false">S167*Calculator!$B$8</f>
        <v>13090</v>
      </c>
      <c r="V167" s="11" t="n">
        <f aca="false">IF(Q167&gt;0,'Tax Tables'!$B$32*MIN(MAX(Q167/'Tax Tables'!$B$32*'Tax Tables'!$B$33,'Tax Tables'!$B$34),'Tax Tables'!$B$35),0)</f>
        <v>135</v>
      </c>
      <c r="W167" s="11" t="n">
        <f aca="false">Calculator!$B$5-P167-U167-V167</f>
        <v>309775</v>
      </c>
      <c r="X167" s="11" t="n">
        <f aca="false">'Tax Tables'!$B$22*(MAX(W167,0)-IF(Calculator!$B$10="Yes",MIN(MAX(W167,0),'Tax Tables'!$B$27)*'Tax Tables'!$B$28+MIN(MAX(MAX(W167,0)-'Tax Tables'!$B$27,0),'Tax Tables'!$B$29)*'Tax Tables'!$B$30,MIN(MAX(W167,0),'Tax Tables'!$B$23)*'Tax Tables'!$B$24+MIN(MAX(MAX(W167,0)-'Tax Tables'!$B$23,0),'Tax Tables'!$B$25)*'Tax Tables'!$B$26))*1-MIN('Tax Tables'!$B$22*(MAX(W167,0)-IF(Calculator!$B$10="Yes",MIN(MAX(W167,0),'Tax Tables'!$B$27)*'Tax Tables'!$B$28+MIN(MAX(MAX(W167,0)-'Tax Tables'!$B$27,0),'Tax Tables'!$B$29)*'Tax Tables'!$B$30,MIN(MAX(W167,0),'Tax Tables'!$B$23)*'Tax Tables'!$B$24+MIN(MAX(MAX(W167,0)-'Tax Tables'!$B$23,0),'Tax Tables'!$B$25)*'Tax Tables'!$B$26))*Calculator!$B$11,Calculator!$B$12)</f>
        <v>35236.75</v>
      </c>
      <c r="Y167" s="11" t="n">
        <f aca="false">MAX(W167,0)-X167</f>
        <v>274538.25</v>
      </c>
      <c r="Z167" s="11" t="n">
        <f aca="false">MIN(IF(P167&gt;0,Calculator!$B$13,0)+T167+Calculator!$B$14,'Tax Tables'!$B$36)</f>
        <v>16400</v>
      </c>
      <c r="AA167" s="11" t="n">
        <f aca="false">MAX(P167-Z167,0)</f>
        <v>60600</v>
      </c>
      <c r="AB167" s="11" t="n">
        <f aca="false">SUMPRODUCT((AA167&gt;'Tax Tables'!$A$5:$A$17)*(AA167-'Tax Tables'!$A$5:$A$17)*'Tax Tables'!$C$5:$C$17)</f>
        <v>1992</v>
      </c>
      <c r="AC167" s="11" t="n">
        <f aca="false">IF(W167&lt;0,-1E+099,P167-T167-AB167+Y167+(T167+U167)*Calculator!$B$9)</f>
        <v>362636.25</v>
      </c>
    </row>
    <row r="168" customFormat="false" ht="15" hidden="false" customHeight="false" outlineLevel="0" collapsed="false">
      <c r="A168" s="11" t="n">
        <f aca="false">155*$B$3</f>
        <v>77500</v>
      </c>
      <c r="B168" s="11" t="n">
        <f aca="false">0</f>
        <v>0</v>
      </c>
      <c r="C168" s="11" t="n">
        <f aca="false">A168-B168</f>
        <v>77500</v>
      </c>
      <c r="D168" s="11" t="n">
        <f aca="false">IF(Calculator!$B$6="Yes",MIN(B168,'Tax Tables'!$B$31*'Tax Tables'!$B$32),0)</f>
        <v>0</v>
      </c>
      <c r="E168" s="11" t="n">
        <f aca="false">D168*Calculator!$B$7</f>
        <v>0</v>
      </c>
      <c r="F168" s="11" t="n">
        <f aca="false">D168*Calculator!$B$8</f>
        <v>0</v>
      </c>
      <c r="G168" s="11" t="n">
        <f aca="false">IF(B168&gt;0,'Tax Tables'!$B$32*MIN(MAX(B168/'Tax Tables'!$B$32*'Tax Tables'!$B$33,'Tax Tables'!$B$34),'Tax Tables'!$B$35),0)</f>
        <v>0</v>
      </c>
      <c r="H168" s="11" t="n">
        <f aca="false">Calculator!$B$5-A168-F168-G168</f>
        <v>322500</v>
      </c>
      <c r="I168" s="11" t="n">
        <f aca="false">'Tax Tables'!$B$22*(MAX(H168,0)-IF(Calculator!$B$10="Yes",MIN(MAX(H168,0),'Tax Tables'!$B$27)*'Tax Tables'!$B$28+MIN(MAX(MAX(H168,0)-'Tax Tables'!$B$27,0),'Tax Tables'!$B$29)*'Tax Tables'!$B$30,MIN(MAX(H168,0),'Tax Tables'!$B$23)*'Tax Tables'!$B$24+MIN(MAX(MAX(H168,0)-'Tax Tables'!$B$23,0),'Tax Tables'!$B$25)*'Tax Tables'!$B$26))*1-MIN('Tax Tables'!$B$22*(MAX(H168,0)-IF(Calculator!$B$10="Yes",MIN(MAX(H168,0),'Tax Tables'!$B$27)*'Tax Tables'!$B$28+MIN(MAX(MAX(H168,0)-'Tax Tables'!$B$27,0),'Tax Tables'!$B$29)*'Tax Tables'!$B$30,MIN(MAX(H168,0),'Tax Tables'!$B$23)*'Tax Tables'!$B$24+MIN(MAX(MAX(H168,0)-'Tax Tables'!$B$23,0),'Tax Tables'!$B$25)*'Tax Tables'!$B$26))*Calculator!$B$11,Calculator!$B$12)</f>
        <v>37400</v>
      </c>
      <c r="J168" s="11" t="n">
        <f aca="false">MAX(H168,0)-I168</f>
        <v>285100</v>
      </c>
      <c r="K168" s="11" t="n">
        <f aca="false">MIN(IF(A168&gt;0,Calculator!$B$13,0)+E168+Calculator!$B$14,'Tax Tables'!$B$36)</f>
        <v>1000</v>
      </c>
      <c r="L168" s="11" t="n">
        <f aca="false">MAX(A168-K168,0)</f>
        <v>76500</v>
      </c>
      <c r="M168" s="11" t="n">
        <f aca="false">SUMPRODUCT((L168&gt;'Tax Tables'!$A$5:$A$17)*(L168-'Tax Tables'!$A$5:$A$17)*'Tax Tables'!$C$5:$C$17)</f>
        <v>3105</v>
      </c>
      <c r="N168" s="11" t="n">
        <f aca="false">IF(H168&lt;0,-1E+099,A168-E168-M168+J168+(E168+F168)*Calculator!$B$9)</f>
        <v>359495</v>
      </c>
      <c r="O168" s="2"/>
      <c r="P168" s="11" t="n">
        <f aca="false">155*$B$3</f>
        <v>77500</v>
      </c>
      <c r="Q168" s="11" t="n">
        <f aca="false">MIN(P168,'Tax Tables'!$B$31*'Tax Tables'!$B$32)</f>
        <v>77500</v>
      </c>
      <c r="R168" s="11" t="n">
        <f aca="false">P168-Q168</f>
        <v>0</v>
      </c>
      <c r="S168" s="11" t="n">
        <f aca="false">IF(Calculator!$B$6="Yes",MIN(Q168,'Tax Tables'!$B$31*'Tax Tables'!$B$32),0)</f>
        <v>77500</v>
      </c>
      <c r="T168" s="11" t="n">
        <f aca="false">S168*Calculator!$B$7</f>
        <v>15500</v>
      </c>
      <c r="U168" s="11" t="n">
        <f aca="false">S168*Calculator!$B$8</f>
        <v>13175</v>
      </c>
      <c r="V168" s="11" t="n">
        <f aca="false">IF(Q168&gt;0,'Tax Tables'!$B$32*MIN(MAX(Q168/'Tax Tables'!$B$32*'Tax Tables'!$B$33,'Tax Tables'!$B$34),'Tax Tables'!$B$35),0)</f>
        <v>135</v>
      </c>
      <c r="W168" s="11" t="n">
        <f aca="false">Calculator!$B$5-P168-U168-V168</f>
        <v>309190</v>
      </c>
      <c r="X168" s="11" t="n">
        <f aca="false">'Tax Tables'!$B$22*(MAX(W168,0)-IF(Calculator!$B$10="Yes",MIN(MAX(W168,0),'Tax Tables'!$B$27)*'Tax Tables'!$B$28+MIN(MAX(MAX(W168,0)-'Tax Tables'!$B$27,0),'Tax Tables'!$B$29)*'Tax Tables'!$B$30,MIN(MAX(W168,0),'Tax Tables'!$B$23)*'Tax Tables'!$B$24+MIN(MAX(MAX(W168,0)-'Tax Tables'!$B$23,0),'Tax Tables'!$B$25)*'Tax Tables'!$B$26))*1-MIN('Tax Tables'!$B$22*(MAX(W168,0)-IF(Calculator!$B$10="Yes",MIN(MAX(W168,0),'Tax Tables'!$B$27)*'Tax Tables'!$B$28+MIN(MAX(MAX(W168,0)-'Tax Tables'!$B$27,0),'Tax Tables'!$B$29)*'Tax Tables'!$B$30,MIN(MAX(W168,0),'Tax Tables'!$B$23)*'Tax Tables'!$B$24+MIN(MAX(MAX(W168,0)-'Tax Tables'!$B$23,0),'Tax Tables'!$B$25)*'Tax Tables'!$B$26))*Calculator!$B$11,Calculator!$B$12)</f>
        <v>35137.3</v>
      </c>
      <c r="Y168" s="11" t="n">
        <f aca="false">MAX(W168,0)-X168</f>
        <v>274052.7</v>
      </c>
      <c r="Z168" s="11" t="n">
        <f aca="false">MIN(IF(P168&gt;0,Calculator!$B$13,0)+T168+Calculator!$B$14,'Tax Tables'!$B$36)</f>
        <v>16500</v>
      </c>
      <c r="AA168" s="11" t="n">
        <f aca="false">MAX(P168-Z168,0)</f>
        <v>61000</v>
      </c>
      <c r="AB168" s="11" t="n">
        <f aca="false">SUMPRODUCT((AA168&gt;'Tax Tables'!$A$5:$A$17)*(AA168-'Tax Tables'!$A$5:$A$17)*'Tax Tables'!$C$5:$C$17)</f>
        <v>2020</v>
      </c>
      <c r="AC168" s="11" t="n">
        <f aca="false">IF(W168&lt;0,-1E+099,P168-T168-AB168+Y168+(T168+U168)*Calculator!$B$9)</f>
        <v>362707.7</v>
      </c>
    </row>
    <row r="169" customFormat="false" ht="15" hidden="false" customHeight="false" outlineLevel="0" collapsed="false">
      <c r="A169" s="11" t="n">
        <f aca="false">156*$B$3</f>
        <v>78000</v>
      </c>
      <c r="B169" s="11" t="n">
        <f aca="false">0</f>
        <v>0</v>
      </c>
      <c r="C169" s="11" t="n">
        <f aca="false">A169-B169</f>
        <v>78000</v>
      </c>
      <c r="D169" s="11" t="n">
        <f aca="false">IF(Calculator!$B$6="Yes",MIN(B169,'Tax Tables'!$B$31*'Tax Tables'!$B$32),0)</f>
        <v>0</v>
      </c>
      <c r="E169" s="11" t="n">
        <f aca="false">D169*Calculator!$B$7</f>
        <v>0</v>
      </c>
      <c r="F169" s="11" t="n">
        <f aca="false">D169*Calculator!$B$8</f>
        <v>0</v>
      </c>
      <c r="G169" s="11" t="n">
        <f aca="false">IF(B169&gt;0,'Tax Tables'!$B$32*MIN(MAX(B169/'Tax Tables'!$B$32*'Tax Tables'!$B$33,'Tax Tables'!$B$34),'Tax Tables'!$B$35),0)</f>
        <v>0</v>
      </c>
      <c r="H169" s="11" t="n">
        <f aca="false">Calculator!$B$5-A169-F169-G169</f>
        <v>322000</v>
      </c>
      <c r="I169" s="11" t="n">
        <f aca="false">'Tax Tables'!$B$22*(MAX(H169,0)-IF(Calculator!$B$10="Yes",MIN(MAX(H169,0),'Tax Tables'!$B$27)*'Tax Tables'!$B$28+MIN(MAX(MAX(H169,0)-'Tax Tables'!$B$27,0),'Tax Tables'!$B$29)*'Tax Tables'!$B$30,MIN(MAX(H169,0),'Tax Tables'!$B$23)*'Tax Tables'!$B$24+MIN(MAX(MAX(H169,0)-'Tax Tables'!$B$23,0),'Tax Tables'!$B$25)*'Tax Tables'!$B$26))*1-MIN('Tax Tables'!$B$22*(MAX(H169,0)-IF(Calculator!$B$10="Yes",MIN(MAX(H169,0),'Tax Tables'!$B$27)*'Tax Tables'!$B$28+MIN(MAX(MAX(H169,0)-'Tax Tables'!$B$27,0),'Tax Tables'!$B$29)*'Tax Tables'!$B$30,MIN(MAX(H169,0),'Tax Tables'!$B$23)*'Tax Tables'!$B$24+MIN(MAX(MAX(H169,0)-'Tax Tables'!$B$23,0),'Tax Tables'!$B$25)*'Tax Tables'!$B$26))*Calculator!$B$11,Calculator!$B$12)</f>
        <v>37315</v>
      </c>
      <c r="J169" s="11" t="n">
        <f aca="false">MAX(H169,0)-I169</f>
        <v>284685</v>
      </c>
      <c r="K169" s="11" t="n">
        <f aca="false">MIN(IF(A169&gt;0,Calculator!$B$13,0)+E169+Calculator!$B$14,'Tax Tables'!$B$36)</f>
        <v>1000</v>
      </c>
      <c r="L169" s="11" t="n">
        <f aca="false">MAX(A169-K169,0)</f>
        <v>77000</v>
      </c>
      <c r="M169" s="11" t="n">
        <f aca="false">SUMPRODUCT((L169&gt;'Tax Tables'!$A$5:$A$17)*(L169-'Tax Tables'!$A$5:$A$17)*'Tax Tables'!$C$5:$C$17)</f>
        <v>3140</v>
      </c>
      <c r="N169" s="11" t="n">
        <f aca="false">IF(H169&lt;0,-1E+099,A169-E169-M169+J169+(E169+F169)*Calculator!$B$9)</f>
        <v>359545</v>
      </c>
      <c r="O169" s="2"/>
      <c r="P169" s="11" t="n">
        <f aca="false">156*$B$3</f>
        <v>78000</v>
      </c>
      <c r="Q169" s="11" t="n">
        <f aca="false">MIN(P169,'Tax Tables'!$B$31*'Tax Tables'!$B$32)</f>
        <v>78000</v>
      </c>
      <c r="R169" s="11" t="n">
        <f aca="false">P169-Q169</f>
        <v>0</v>
      </c>
      <c r="S169" s="11" t="n">
        <f aca="false">IF(Calculator!$B$6="Yes",MIN(Q169,'Tax Tables'!$B$31*'Tax Tables'!$B$32),0)</f>
        <v>78000</v>
      </c>
      <c r="T169" s="11" t="n">
        <f aca="false">S169*Calculator!$B$7</f>
        <v>15600</v>
      </c>
      <c r="U169" s="11" t="n">
        <f aca="false">S169*Calculator!$B$8</f>
        <v>13260</v>
      </c>
      <c r="V169" s="11" t="n">
        <f aca="false">IF(Q169&gt;0,'Tax Tables'!$B$32*MIN(MAX(Q169/'Tax Tables'!$B$32*'Tax Tables'!$B$33,'Tax Tables'!$B$34),'Tax Tables'!$B$35),0)</f>
        <v>135</v>
      </c>
      <c r="W169" s="11" t="n">
        <f aca="false">Calculator!$B$5-P169-U169-V169</f>
        <v>308605</v>
      </c>
      <c r="X169" s="11" t="n">
        <f aca="false">'Tax Tables'!$B$22*(MAX(W169,0)-IF(Calculator!$B$10="Yes",MIN(MAX(W169,0),'Tax Tables'!$B$27)*'Tax Tables'!$B$28+MIN(MAX(MAX(W169,0)-'Tax Tables'!$B$27,0),'Tax Tables'!$B$29)*'Tax Tables'!$B$30,MIN(MAX(W169,0),'Tax Tables'!$B$23)*'Tax Tables'!$B$24+MIN(MAX(MAX(W169,0)-'Tax Tables'!$B$23,0),'Tax Tables'!$B$25)*'Tax Tables'!$B$26))*1-MIN('Tax Tables'!$B$22*(MAX(W169,0)-IF(Calculator!$B$10="Yes",MIN(MAX(W169,0),'Tax Tables'!$B$27)*'Tax Tables'!$B$28+MIN(MAX(MAX(W169,0)-'Tax Tables'!$B$27,0),'Tax Tables'!$B$29)*'Tax Tables'!$B$30,MIN(MAX(W169,0),'Tax Tables'!$B$23)*'Tax Tables'!$B$24+MIN(MAX(MAX(W169,0)-'Tax Tables'!$B$23,0),'Tax Tables'!$B$25)*'Tax Tables'!$B$26))*Calculator!$B$11,Calculator!$B$12)</f>
        <v>35037.85</v>
      </c>
      <c r="Y169" s="11" t="n">
        <f aca="false">MAX(W169,0)-X169</f>
        <v>273567.15</v>
      </c>
      <c r="Z169" s="11" t="n">
        <f aca="false">MIN(IF(P169&gt;0,Calculator!$B$13,0)+T169+Calculator!$B$14,'Tax Tables'!$B$36)</f>
        <v>16600</v>
      </c>
      <c r="AA169" s="11" t="n">
        <f aca="false">MAX(P169-Z169,0)</f>
        <v>61400</v>
      </c>
      <c r="AB169" s="11" t="n">
        <f aca="false">SUMPRODUCT((AA169&gt;'Tax Tables'!$A$5:$A$17)*(AA169-'Tax Tables'!$A$5:$A$17)*'Tax Tables'!$C$5:$C$17)</f>
        <v>2048</v>
      </c>
      <c r="AC169" s="11" t="n">
        <f aca="false">IF(W169&lt;0,-1E+099,P169-T169-AB169+Y169+(T169+U169)*Calculator!$B$9)</f>
        <v>362779.15</v>
      </c>
    </row>
    <row r="170" customFormat="false" ht="15" hidden="false" customHeight="false" outlineLevel="0" collapsed="false">
      <c r="A170" s="11" t="n">
        <f aca="false">157*$B$3</f>
        <v>78500</v>
      </c>
      <c r="B170" s="11" t="n">
        <f aca="false">0</f>
        <v>0</v>
      </c>
      <c r="C170" s="11" t="n">
        <f aca="false">A170-B170</f>
        <v>78500</v>
      </c>
      <c r="D170" s="11" t="n">
        <f aca="false">IF(Calculator!$B$6="Yes",MIN(B170,'Tax Tables'!$B$31*'Tax Tables'!$B$32),0)</f>
        <v>0</v>
      </c>
      <c r="E170" s="11" t="n">
        <f aca="false">D170*Calculator!$B$7</f>
        <v>0</v>
      </c>
      <c r="F170" s="11" t="n">
        <f aca="false">D170*Calculator!$B$8</f>
        <v>0</v>
      </c>
      <c r="G170" s="11" t="n">
        <f aca="false">IF(B170&gt;0,'Tax Tables'!$B$32*MIN(MAX(B170/'Tax Tables'!$B$32*'Tax Tables'!$B$33,'Tax Tables'!$B$34),'Tax Tables'!$B$35),0)</f>
        <v>0</v>
      </c>
      <c r="H170" s="11" t="n">
        <f aca="false">Calculator!$B$5-A170-F170-G170</f>
        <v>321500</v>
      </c>
      <c r="I170" s="11" t="n">
        <f aca="false">'Tax Tables'!$B$22*(MAX(H170,0)-IF(Calculator!$B$10="Yes",MIN(MAX(H170,0),'Tax Tables'!$B$27)*'Tax Tables'!$B$28+MIN(MAX(MAX(H170,0)-'Tax Tables'!$B$27,0),'Tax Tables'!$B$29)*'Tax Tables'!$B$30,MIN(MAX(H170,0),'Tax Tables'!$B$23)*'Tax Tables'!$B$24+MIN(MAX(MAX(H170,0)-'Tax Tables'!$B$23,0),'Tax Tables'!$B$25)*'Tax Tables'!$B$26))*1-MIN('Tax Tables'!$B$22*(MAX(H170,0)-IF(Calculator!$B$10="Yes",MIN(MAX(H170,0),'Tax Tables'!$B$27)*'Tax Tables'!$B$28+MIN(MAX(MAX(H170,0)-'Tax Tables'!$B$27,0),'Tax Tables'!$B$29)*'Tax Tables'!$B$30,MIN(MAX(H170,0),'Tax Tables'!$B$23)*'Tax Tables'!$B$24+MIN(MAX(MAX(H170,0)-'Tax Tables'!$B$23,0),'Tax Tables'!$B$25)*'Tax Tables'!$B$26))*Calculator!$B$11,Calculator!$B$12)</f>
        <v>37230</v>
      </c>
      <c r="J170" s="11" t="n">
        <f aca="false">MAX(H170,0)-I170</f>
        <v>284270</v>
      </c>
      <c r="K170" s="11" t="n">
        <f aca="false">MIN(IF(A170&gt;0,Calculator!$B$13,0)+E170+Calculator!$B$14,'Tax Tables'!$B$36)</f>
        <v>1000</v>
      </c>
      <c r="L170" s="11" t="n">
        <f aca="false">MAX(A170-K170,0)</f>
        <v>77500</v>
      </c>
      <c r="M170" s="11" t="n">
        <f aca="false">SUMPRODUCT((L170&gt;'Tax Tables'!$A$5:$A$17)*(L170-'Tax Tables'!$A$5:$A$17)*'Tax Tables'!$C$5:$C$17)</f>
        <v>3175</v>
      </c>
      <c r="N170" s="11" t="n">
        <f aca="false">IF(H170&lt;0,-1E+099,A170-E170-M170+J170+(E170+F170)*Calculator!$B$9)</f>
        <v>359595</v>
      </c>
      <c r="O170" s="2"/>
      <c r="P170" s="11" t="n">
        <f aca="false">157*$B$3</f>
        <v>78500</v>
      </c>
      <c r="Q170" s="11" t="n">
        <f aca="false">MIN(P170,'Tax Tables'!$B$31*'Tax Tables'!$B$32)</f>
        <v>78500</v>
      </c>
      <c r="R170" s="11" t="n">
        <f aca="false">P170-Q170</f>
        <v>0</v>
      </c>
      <c r="S170" s="11" t="n">
        <f aca="false">IF(Calculator!$B$6="Yes",MIN(Q170,'Tax Tables'!$B$31*'Tax Tables'!$B$32),0)</f>
        <v>78500</v>
      </c>
      <c r="T170" s="11" t="n">
        <f aca="false">S170*Calculator!$B$7</f>
        <v>15700</v>
      </c>
      <c r="U170" s="11" t="n">
        <f aca="false">S170*Calculator!$B$8</f>
        <v>13345</v>
      </c>
      <c r="V170" s="11" t="n">
        <f aca="false">IF(Q170&gt;0,'Tax Tables'!$B$32*MIN(MAX(Q170/'Tax Tables'!$B$32*'Tax Tables'!$B$33,'Tax Tables'!$B$34),'Tax Tables'!$B$35),0)</f>
        <v>135</v>
      </c>
      <c r="W170" s="11" t="n">
        <f aca="false">Calculator!$B$5-P170-U170-V170</f>
        <v>308020</v>
      </c>
      <c r="X170" s="11" t="n">
        <f aca="false">'Tax Tables'!$B$22*(MAX(W170,0)-IF(Calculator!$B$10="Yes",MIN(MAX(W170,0),'Tax Tables'!$B$27)*'Tax Tables'!$B$28+MIN(MAX(MAX(W170,0)-'Tax Tables'!$B$27,0),'Tax Tables'!$B$29)*'Tax Tables'!$B$30,MIN(MAX(W170,0),'Tax Tables'!$B$23)*'Tax Tables'!$B$24+MIN(MAX(MAX(W170,0)-'Tax Tables'!$B$23,0),'Tax Tables'!$B$25)*'Tax Tables'!$B$26))*1-MIN('Tax Tables'!$B$22*(MAX(W170,0)-IF(Calculator!$B$10="Yes",MIN(MAX(W170,0),'Tax Tables'!$B$27)*'Tax Tables'!$B$28+MIN(MAX(MAX(W170,0)-'Tax Tables'!$B$27,0),'Tax Tables'!$B$29)*'Tax Tables'!$B$30,MIN(MAX(W170,0),'Tax Tables'!$B$23)*'Tax Tables'!$B$24+MIN(MAX(MAX(W170,0)-'Tax Tables'!$B$23,0),'Tax Tables'!$B$25)*'Tax Tables'!$B$26))*Calculator!$B$11,Calculator!$B$12)</f>
        <v>34938.4</v>
      </c>
      <c r="Y170" s="11" t="n">
        <f aca="false">MAX(W170,0)-X170</f>
        <v>273081.6</v>
      </c>
      <c r="Z170" s="11" t="n">
        <f aca="false">MIN(IF(P170&gt;0,Calculator!$B$13,0)+T170+Calculator!$B$14,'Tax Tables'!$B$36)</f>
        <v>16700</v>
      </c>
      <c r="AA170" s="11" t="n">
        <f aca="false">MAX(P170-Z170,0)</f>
        <v>61800</v>
      </c>
      <c r="AB170" s="11" t="n">
        <f aca="false">SUMPRODUCT((AA170&gt;'Tax Tables'!$A$5:$A$17)*(AA170-'Tax Tables'!$A$5:$A$17)*'Tax Tables'!$C$5:$C$17)</f>
        <v>2076</v>
      </c>
      <c r="AC170" s="11" t="n">
        <f aca="false">IF(W170&lt;0,-1E+099,P170-T170-AB170+Y170+(T170+U170)*Calculator!$B$9)</f>
        <v>362850.6</v>
      </c>
    </row>
    <row r="171" customFormat="false" ht="15" hidden="false" customHeight="false" outlineLevel="0" collapsed="false">
      <c r="A171" s="11" t="n">
        <f aca="false">158*$B$3</f>
        <v>79000</v>
      </c>
      <c r="B171" s="11" t="n">
        <f aca="false">0</f>
        <v>0</v>
      </c>
      <c r="C171" s="11" t="n">
        <f aca="false">A171-B171</f>
        <v>79000</v>
      </c>
      <c r="D171" s="11" t="n">
        <f aca="false">IF(Calculator!$B$6="Yes",MIN(B171,'Tax Tables'!$B$31*'Tax Tables'!$B$32),0)</f>
        <v>0</v>
      </c>
      <c r="E171" s="11" t="n">
        <f aca="false">D171*Calculator!$B$7</f>
        <v>0</v>
      </c>
      <c r="F171" s="11" t="n">
        <f aca="false">D171*Calculator!$B$8</f>
        <v>0</v>
      </c>
      <c r="G171" s="11" t="n">
        <f aca="false">IF(B171&gt;0,'Tax Tables'!$B$32*MIN(MAX(B171/'Tax Tables'!$B$32*'Tax Tables'!$B$33,'Tax Tables'!$B$34),'Tax Tables'!$B$35),0)</f>
        <v>0</v>
      </c>
      <c r="H171" s="11" t="n">
        <f aca="false">Calculator!$B$5-A171-F171-G171</f>
        <v>321000</v>
      </c>
      <c r="I171" s="11" t="n">
        <f aca="false">'Tax Tables'!$B$22*(MAX(H171,0)-IF(Calculator!$B$10="Yes",MIN(MAX(H171,0),'Tax Tables'!$B$27)*'Tax Tables'!$B$28+MIN(MAX(MAX(H171,0)-'Tax Tables'!$B$27,0),'Tax Tables'!$B$29)*'Tax Tables'!$B$30,MIN(MAX(H171,0),'Tax Tables'!$B$23)*'Tax Tables'!$B$24+MIN(MAX(MAX(H171,0)-'Tax Tables'!$B$23,0),'Tax Tables'!$B$25)*'Tax Tables'!$B$26))*1-MIN('Tax Tables'!$B$22*(MAX(H171,0)-IF(Calculator!$B$10="Yes",MIN(MAX(H171,0),'Tax Tables'!$B$27)*'Tax Tables'!$B$28+MIN(MAX(MAX(H171,0)-'Tax Tables'!$B$27,0),'Tax Tables'!$B$29)*'Tax Tables'!$B$30,MIN(MAX(H171,0),'Tax Tables'!$B$23)*'Tax Tables'!$B$24+MIN(MAX(MAX(H171,0)-'Tax Tables'!$B$23,0),'Tax Tables'!$B$25)*'Tax Tables'!$B$26))*Calculator!$B$11,Calculator!$B$12)</f>
        <v>37145</v>
      </c>
      <c r="J171" s="11" t="n">
        <f aca="false">MAX(H171,0)-I171</f>
        <v>283855</v>
      </c>
      <c r="K171" s="11" t="n">
        <f aca="false">MIN(IF(A171&gt;0,Calculator!$B$13,0)+E171+Calculator!$B$14,'Tax Tables'!$B$36)</f>
        <v>1000</v>
      </c>
      <c r="L171" s="11" t="n">
        <f aca="false">MAX(A171-K171,0)</f>
        <v>78000</v>
      </c>
      <c r="M171" s="11" t="n">
        <f aca="false">SUMPRODUCT((L171&gt;'Tax Tables'!$A$5:$A$17)*(L171-'Tax Tables'!$A$5:$A$17)*'Tax Tables'!$C$5:$C$17)</f>
        <v>3210</v>
      </c>
      <c r="N171" s="11" t="n">
        <f aca="false">IF(H171&lt;0,-1E+099,A171-E171-M171+J171+(E171+F171)*Calculator!$B$9)</f>
        <v>359645</v>
      </c>
      <c r="O171" s="2"/>
      <c r="P171" s="11" t="n">
        <f aca="false">158*$B$3</f>
        <v>79000</v>
      </c>
      <c r="Q171" s="11" t="n">
        <f aca="false">MIN(P171,'Tax Tables'!$B$31*'Tax Tables'!$B$32)</f>
        <v>79000</v>
      </c>
      <c r="R171" s="11" t="n">
        <f aca="false">P171-Q171</f>
        <v>0</v>
      </c>
      <c r="S171" s="11" t="n">
        <f aca="false">IF(Calculator!$B$6="Yes",MIN(Q171,'Tax Tables'!$B$31*'Tax Tables'!$B$32),0)</f>
        <v>79000</v>
      </c>
      <c r="T171" s="11" t="n">
        <f aca="false">S171*Calculator!$B$7</f>
        <v>15800</v>
      </c>
      <c r="U171" s="11" t="n">
        <f aca="false">S171*Calculator!$B$8</f>
        <v>13430</v>
      </c>
      <c r="V171" s="11" t="n">
        <f aca="false">IF(Q171&gt;0,'Tax Tables'!$B$32*MIN(MAX(Q171/'Tax Tables'!$B$32*'Tax Tables'!$B$33,'Tax Tables'!$B$34),'Tax Tables'!$B$35),0)</f>
        <v>135</v>
      </c>
      <c r="W171" s="11" t="n">
        <f aca="false">Calculator!$B$5-P171-U171-V171</f>
        <v>307435</v>
      </c>
      <c r="X171" s="11" t="n">
        <f aca="false">'Tax Tables'!$B$22*(MAX(W171,0)-IF(Calculator!$B$10="Yes",MIN(MAX(W171,0),'Tax Tables'!$B$27)*'Tax Tables'!$B$28+MIN(MAX(MAX(W171,0)-'Tax Tables'!$B$27,0),'Tax Tables'!$B$29)*'Tax Tables'!$B$30,MIN(MAX(W171,0),'Tax Tables'!$B$23)*'Tax Tables'!$B$24+MIN(MAX(MAX(W171,0)-'Tax Tables'!$B$23,0),'Tax Tables'!$B$25)*'Tax Tables'!$B$26))*1-MIN('Tax Tables'!$B$22*(MAX(W171,0)-IF(Calculator!$B$10="Yes",MIN(MAX(W171,0),'Tax Tables'!$B$27)*'Tax Tables'!$B$28+MIN(MAX(MAX(W171,0)-'Tax Tables'!$B$27,0),'Tax Tables'!$B$29)*'Tax Tables'!$B$30,MIN(MAX(W171,0),'Tax Tables'!$B$23)*'Tax Tables'!$B$24+MIN(MAX(MAX(W171,0)-'Tax Tables'!$B$23,0),'Tax Tables'!$B$25)*'Tax Tables'!$B$26))*Calculator!$B$11,Calculator!$B$12)</f>
        <v>34838.95</v>
      </c>
      <c r="Y171" s="11" t="n">
        <f aca="false">MAX(W171,0)-X171</f>
        <v>272596.05</v>
      </c>
      <c r="Z171" s="11" t="n">
        <f aca="false">MIN(IF(P171&gt;0,Calculator!$B$13,0)+T171+Calculator!$B$14,'Tax Tables'!$B$36)</f>
        <v>16800</v>
      </c>
      <c r="AA171" s="11" t="n">
        <f aca="false">MAX(P171-Z171,0)</f>
        <v>62200</v>
      </c>
      <c r="AB171" s="11" t="n">
        <f aca="false">SUMPRODUCT((AA171&gt;'Tax Tables'!$A$5:$A$17)*(AA171-'Tax Tables'!$A$5:$A$17)*'Tax Tables'!$C$5:$C$17)</f>
        <v>2104</v>
      </c>
      <c r="AC171" s="11" t="n">
        <f aca="false">IF(W171&lt;0,-1E+099,P171-T171-AB171+Y171+(T171+U171)*Calculator!$B$9)</f>
        <v>362922.05</v>
      </c>
    </row>
    <row r="172" customFormat="false" ht="15" hidden="false" customHeight="false" outlineLevel="0" collapsed="false">
      <c r="A172" s="11" t="n">
        <f aca="false">159*$B$3</f>
        <v>79500</v>
      </c>
      <c r="B172" s="11" t="n">
        <f aca="false">0</f>
        <v>0</v>
      </c>
      <c r="C172" s="11" t="n">
        <f aca="false">A172-B172</f>
        <v>79500</v>
      </c>
      <c r="D172" s="11" t="n">
        <f aca="false">IF(Calculator!$B$6="Yes",MIN(B172,'Tax Tables'!$B$31*'Tax Tables'!$B$32),0)</f>
        <v>0</v>
      </c>
      <c r="E172" s="11" t="n">
        <f aca="false">D172*Calculator!$B$7</f>
        <v>0</v>
      </c>
      <c r="F172" s="11" t="n">
        <f aca="false">D172*Calculator!$B$8</f>
        <v>0</v>
      </c>
      <c r="G172" s="11" t="n">
        <f aca="false">IF(B172&gt;0,'Tax Tables'!$B$32*MIN(MAX(B172/'Tax Tables'!$B$32*'Tax Tables'!$B$33,'Tax Tables'!$B$34),'Tax Tables'!$B$35),0)</f>
        <v>0</v>
      </c>
      <c r="H172" s="11" t="n">
        <f aca="false">Calculator!$B$5-A172-F172-G172</f>
        <v>320500</v>
      </c>
      <c r="I172" s="11" t="n">
        <f aca="false">'Tax Tables'!$B$22*(MAX(H172,0)-IF(Calculator!$B$10="Yes",MIN(MAX(H172,0),'Tax Tables'!$B$27)*'Tax Tables'!$B$28+MIN(MAX(MAX(H172,0)-'Tax Tables'!$B$27,0),'Tax Tables'!$B$29)*'Tax Tables'!$B$30,MIN(MAX(H172,0),'Tax Tables'!$B$23)*'Tax Tables'!$B$24+MIN(MAX(MAX(H172,0)-'Tax Tables'!$B$23,0),'Tax Tables'!$B$25)*'Tax Tables'!$B$26))*1-MIN('Tax Tables'!$B$22*(MAX(H172,0)-IF(Calculator!$B$10="Yes",MIN(MAX(H172,0),'Tax Tables'!$B$27)*'Tax Tables'!$B$28+MIN(MAX(MAX(H172,0)-'Tax Tables'!$B$27,0),'Tax Tables'!$B$29)*'Tax Tables'!$B$30,MIN(MAX(H172,0),'Tax Tables'!$B$23)*'Tax Tables'!$B$24+MIN(MAX(MAX(H172,0)-'Tax Tables'!$B$23,0),'Tax Tables'!$B$25)*'Tax Tables'!$B$26))*Calculator!$B$11,Calculator!$B$12)</f>
        <v>37060</v>
      </c>
      <c r="J172" s="11" t="n">
        <f aca="false">MAX(H172,0)-I172</f>
        <v>283440</v>
      </c>
      <c r="K172" s="11" t="n">
        <f aca="false">MIN(IF(A172&gt;0,Calculator!$B$13,0)+E172+Calculator!$B$14,'Tax Tables'!$B$36)</f>
        <v>1000</v>
      </c>
      <c r="L172" s="11" t="n">
        <f aca="false">MAX(A172-K172,0)</f>
        <v>78500</v>
      </c>
      <c r="M172" s="11" t="n">
        <f aca="false">SUMPRODUCT((L172&gt;'Tax Tables'!$A$5:$A$17)*(L172-'Tax Tables'!$A$5:$A$17)*'Tax Tables'!$C$5:$C$17)</f>
        <v>3245</v>
      </c>
      <c r="N172" s="11" t="n">
        <f aca="false">IF(H172&lt;0,-1E+099,A172-E172-M172+J172+(E172+F172)*Calculator!$B$9)</f>
        <v>359695</v>
      </c>
      <c r="O172" s="2"/>
      <c r="P172" s="11" t="n">
        <f aca="false">159*$B$3</f>
        <v>79500</v>
      </c>
      <c r="Q172" s="11" t="n">
        <f aca="false">MIN(P172,'Tax Tables'!$B$31*'Tax Tables'!$B$32)</f>
        <v>79500</v>
      </c>
      <c r="R172" s="11" t="n">
        <f aca="false">P172-Q172</f>
        <v>0</v>
      </c>
      <c r="S172" s="11" t="n">
        <f aca="false">IF(Calculator!$B$6="Yes",MIN(Q172,'Tax Tables'!$B$31*'Tax Tables'!$B$32),0)</f>
        <v>79500</v>
      </c>
      <c r="T172" s="11" t="n">
        <f aca="false">S172*Calculator!$B$7</f>
        <v>15900</v>
      </c>
      <c r="U172" s="11" t="n">
        <f aca="false">S172*Calculator!$B$8</f>
        <v>13515</v>
      </c>
      <c r="V172" s="11" t="n">
        <f aca="false">IF(Q172&gt;0,'Tax Tables'!$B$32*MIN(MAX(Q172/'Tax Tables'!$B$32*'Tax Tables'!$B$33,'Tax Tables'!$B$34),'Tax Tables'!$B$35),0)</f>
        <v>135</v>
      </c>
      <c r="W172" s="11" t="n">
        <f aca="false">Calculator!$B$5-P172-U172-V172</f>
        <v>306850</v>
      </c>
      <c r="X172" s="11" t="n">
        <f aca="false">'Tax Tables'!$B$22*(MAX(W172,0)-IF(Calculator!$B$10="Yes",MIN(MAX(W172,0),'Tax Tables'!$B$27)*'Tax Tables'!$B$28+MIN(MAX(MAX(W172,0)-'Tax Tables'!$B$27,0),'Tax Tables'!$B$29)*'Tax Tables'!$B$30,MIN(MAX(W172,0),'Tax Tables'!$B$23)*'Tax Tables'!$B$24+MIN(MAX(MAX(W172,0)-'Tax Tables'!$B$23,0),'Tax Tables'!$B$25)*'Tax Tables'!$B$26))*1-MIN('Tax Tables'!$B$22*(MAX(W172,0)-IF(Calculator!$B$10="Yes",MIN(MAX(W172,0),'Tax Tables'!$B$27)*'Tax Tables'!$B$28+MIN(MAX(MAX(W172,0)-'Tax Tables'!$B$27,0),'Tax Tables'!$B$29)*'Tax Tables'!$B$30,MIN(MAX(W172,0),'Tax Tables'!$B$23)*'Tax Tables'!$B$24+MIN(MAX(MAX(W172,0)-'Tax Tables'!$B$23,0),'Tax Tables'!$B$25)*'Tax Tables'!$B$26))*Calculator!$B$11,Calculator!$B$12)</f>
        <v>34739.5</v>
      </c>
      <c r="Y172" s="11" t="n">
        <f aca="false">MAX(W172,0)-X172</f>
        <v>272110.5</v>
      </c>
      <c r="Z172" s="11" t="n">
        <f aca="false">MIN(IF(P172&gt;0,Calculator!$B$13,0)+T172+Calculator!$B$14,'Tax Tables'!$B$36)</f>
        <v>16900</v>
      </c>
      <c r="AA172" s="11" t="n">
        <f aca="false">MAX(P172-Z172,0)</f>
        <v>62600</v>
      </c>
      <c r="AB172" s="11" t="n">
        <f aca="false">SUMPRODUCT((AA172&gt;'Tax Tables'!$A$5:$A$17)*(AA172-'Tax Tables'!$A$5:$A$17)*'Tax Tables'!$C$5:$C$17)</f>
        <v>2132</v>
      </c>
      <c r="AC172" s="11" t="n">
        <f aca="false">IF(W172&lt;0,-1E+099,P172-T172-AB172+Y172+(T172+U172)*Calculator!$B$9)</f>
        <v>362993.5</v>
      </c>
    </row>
    <row r="173" customFormat="false" ht="15" hidden="false" customHeight="false" outlineLevel="0" collapsed="false">
      <c r="A173" s="11" t="n">
        <f aca="false">160*$B$3</f>
        <v>80000</v>
      </c>
      <c r="B173" s="11" t="n">
        <f aca="false">0</f>
        <v>0</v>
      </c>
      <c r="C173" s="11" t="n">
        <f aca="false">A173-B173</f>
        <v>80000</v>
      </c>
      <c r="D173" s="11" t="n">
        <f aca="false">IF(Calculator!$B$6="Yes",MIN(B173,'Tax Tables'!$B$31*'Tax Tables'!$B$32),0)</f>
        <v>0</v>
      </c>
      <c r="E173" s="11" t="n">
        <f aca="false">D173*Calculator!$B$7</f>
        <v>0</v>
      </c>
      <c r="F173" s="11" t="n">
        <f aca="false">D173*Calculator!$B$8</f>
        <v>0</v>
      </c>
      <c r="G173" s="11" t="n">
        <f aca="false">IF(B173&gt;0,'Tax Tables'!$B$32*MIN(MAX(B173/'Tax Tables'!$B$32*'Tax Tables'!$B$33,'Tax Tables'!$B$34),'Tax Tables'!$B$35),0)</f>
        <v>0</v>
      </c>
      <c r="H173" s="11" t="n">
        <f aca="false">Calculator!$B$5-A173-F173-G173</f>
        <v>320000</v>
      </c>
      <c r="I173" s="11" t="n">
        <f aca="false">'Tax Tables'!$B$22*(MAX(H173,0)-IF(Calculator!$B$10="Yes",MIN(MAX(H173,0),'Tax Tables'!$B$27)*'Tax Tables'!$B$28+MIN(MAX(MAX(H173,0)-'Tax Tables'!$B$27,0),'Tax Tables'!$B$29)*'Tax Tables'!$B$30,MIN(MAX(H173,0),'Tax Tables'!$B$23)*'Tax Tables'!$B$24+MIN(MAX(MAX(H173,0)-'Tax Tables'!$B$23,0),'Tax Tables'!$B$25)*'Tax Tables'!$B$26))*1-MIN('Tax Tables'!$B$22*(MAX(H173,0)-IF(Calculator!$B$10="Yes",MIN(MAX(H173,0),'Tax Tables'!$B$27)*'Tax Tables'!$B$28+MIN(MAX(MAX(H173,0)-'Tax Tables'!$B$27,0),'Tax Tables'!$B$29)*'Tax Tables'!$B$30,MIN(MAX(H173,0),'Tax Tables'!$B$23)*'Tax Tables'!$B$24+MIN(MAX(MAX(H173,0)-'Tax Tables'!$B$23,0),'Tax Tables'!$B$25)*'Tax Tables'!$B$26))*Calculator!$B$11,Calculator!$B$12)</f>
        <v>36975</v>
      </c>
      <c r="J173" s="11" t="n">
        <f aca="false">MAX(H173,0)-I173</f>
        <v>283025</v>
      </c>
      <c r="K173" s="11" t="n">
        <f aca="false">MIN(IF(A173&gt;0,Calculator!$B$13,0)+E173+Calculator!$B$14,'Tax Tables'!$B$36)</f>
        <v>1000</v>
      </c>
      <c r="L173" s="11" t="n">
        <f aca="false">MAX(A173-K173,0)</f>
        <v>79000</v>
      </c>
      <c r="M173" s="11" t="n">
        <f aca="false">SUMPRODUCT((L173&gt;'Tax Tables'!$A$5:$A$17)*(L173-'Tax Tables'!$A$5:$A$17)*'Tax Tables'!$C$5:$C$17)</f>
        <v>3280</v>
      </c>
      <c r="N173" s="11" t="n">
        <f aca="false">IF(H173&lt;0,-1E+099,A173-E173-M173+J173+(E173+F173)*Calculator!$B$9)</f>
        <v>359745</v>
      </c>
      <c r="O173" s="2"/>
      <c r="P173" s="11" t="n">
        <f aca="false">160*$B$3</f>
        <v>80000</v>
      </c>
      <c r="Q173" s="11" t="n">
        <f aca="false">MIN(P173,'Tax Tables'!$B$31*'Tax Tables'!$B$32)</f>
        <v>80000</v>
      </c>
      <c r="R173" s="11" t="n">
        <f aca="false">P173-Q173</f>
        <v>0</v>
      </c>
      <c r="S173" s="11" t="n">
        <f aca="false">IF(Calculator!$B$6="Yes",MIN(Q173,'Tax Tables'!$B$31*'Tax Tables'!$B$32),0)</f>
        <v>80000</v>
      </c>
      <c r="T173" s="11" t="n">
        <f aca="false">S173*Calculator!$B$7</f>
        <v>16000</v>
      </c>
      <c r="U173" s="11" t="n">
        <f aca="false">S173*Calculator!$B$8</f>
        <v>13600</v>
      </c>
      <c r="V173" s="11" t="n">
        <f aca="false">IF(Q173&gt;0,'Tax Tables'!$B$32*MIN(MAX(Q173/'Tax Tables'!$B$32*'Tax Tables'!$B$33,'Tax Tables'!$B$34),'Tax Tables'!$B$35),0)</f>
        <v>135</v>
      </c>
      <c r="W173" s="11" t="n">
        <f aca="false">Calculator!$B$5-P173-U173-V173</f>
        <v>306265</v>
      </c>
      <c r="X173" s="11" t="n">
        <f aca="false">'Tax Tables'!$B$22*(MAX(W173,0)-IF(Calculator!$B$10="Yes",MIN(MAX(W173,0),'Tax Tables'!$B$27)*'Tax Tables'!$B$28+MIN(MAX(MAX(W173,0)-'Tax Tables'!$B$27,0),'Tax Tables'!$B$29)*'Tax Tables'!$B$30,MIN(MAX(W173,0),'Tax Tables'!$B$23)*'Tax Tables'!$B$24+MIN(MAX(MAX(W173,0)-'Tax Tables'!$B$23,0),'Tax Tables'!$B$25)*'Tax Tables'!$B$26))*1-MIN('Tax Tables'!$B$22*(MAX(W173,0)-IF(Calculator!$B$10="Yes",MIN(MAX(W173,0),'Tax Tables'!$B$27)*'Tax Tables'!$B$28+MIN(MAX(MAX(W173,0)-'Tax Tables'!$B$27,0),'Tax Tables'!$B$29)*'Tax Tables'!$B$30,MIN(MAX(W173,0),'Tax Tables'!$B$23)*'Tax Tables'!$B$24+MIN(MAX(MAX(W173,0)-'Tax Tables'!$B$23,0),'Tax Tables'!$B$25)*'Tax Tables'!$B$26))*Calculator!$B$11,Calculator!$B$12)</f>
        <v>34640.05</v>
      </c>
      <c r="Y173" s="11" t="n">
        <f aca="false">MAX(W173,0)-X173</f>
        <v>271624.95</v>
      </c>
      <c r="Z173" s="11" t="n">
        <f aca="false">MIN(IF(P173&gt;0,Calculator!$B$13,0)+T173+Calculator!$B$14,'Tax Tables'!$B$36)</f>
        <v>17000</v>
      </c>
      <c r="AA173" s="11" t="n">
        <f aca="false">MAX(P173-Z173,0)</f>
        <v>63000</v>
      </c>
      <c r="AB173" s="11" t="n">
        <f aca="false">SUMPRODUCT((AA173&gt;'Tax Tables'!$A$5:$A$17)*(AA173-'Tax Tables'!$A$5:$A$17)*'Tax Tables'!$C$5:$C$17)</f>
        <v>2160</v>
      </c>
      <c r="AC173" s="11" t="n">
        <f aca="false">IF(W173&lt;0,-1E+099,P173-T173-AB173+Y173+(T173+U173)*Calculator!$B$9)</f>
        <v>363064.95</v>
      </c>
    </row>
    <row r="174" customFormat="false" ht="15" hidden="false" customHeight="false" outlineLevel="0" collapsed="false">
      <c r="A174" s="11" t="n">
        <f aca="false">161*$B$3</f>
        <v>80500</v>
      </c>
      <c r="B174" s="11" t="n">
        <f aca="false">0</f>
        <v>0</v>
      </c>
      <c r="C174" s="11" t="n">
        <f aca="false">A174-B174</f>
        <v>80500</v>
      </c>
      <c r="D174" s="11" t="n">
        <f aca="false">IF(Calculator!$B$6="Yes",MIN(B174,'Tax Tables'!$B$31*'Tax Tables'!$B$32),0)</f>
        <v>0</v>
      </c>
      <c r="E174" s="11" t="n">
        <f aca="false">D174*Calculator!$B$7</f>
        <v>0</v>
      </c>
      <c r="F174" s="11" t="n">
        <f aca="false">D174*Calculator!$B$8</f>
        <v>0</v>
      </c>
      <c r="G174" s="11" t="n">
        <f aca="false">IF(B174&gt;0,'Tax Tables'!$B$32*MIN(MAX(B174/'Tax Tables'!$B$32*'Tax Tables'!$B$33,'Tax Tables'!$B$34),'Tax Tables'!$B$35),0)</f>
        <v>0</v>
      </c>
      <c r="H174" s="11" t="n">
        <f aca="false">Calculator!$B$5-A174-F174-G174</f>
        <v>319500</v>
      </c>
      <c r="I174" s="11" t="n">
        <f aca="false">'Tax Tables'!$B$22*(MAX(H174,0)-IF(Calculator!$B$10="Yes",MIN(MAX(H174,0),'Tax Tables'!$B$27)*'Tax Tables'!$B$28+MIN(MAX(MAX(H174,0)-'Tax Tables'!$B$27,0),'Tax Tables'!$B$29)*'Tax Tables'!$B$30,MIN(MAX(H174,0),'Tax Tables'!$B$23)*'Tax Tables'!$B$24+MIN(MAX(MAX(H174,0)-'Tax Tables'!$B$23,0),'Tax Tables'!$B$25)*'Tax Tables'!$B$26))*1-MIN('Tax Tables'!$B$22*(MAX(H174,0)-IF(Calculator!$B$10="Yes",MIN(MAX(H174,0),'Tax Tables'!$B$27)*'Tax Tables'!$B$28+MIN(MAX(MAX(H174,0)-'Tax Tables'!$B$27,0),'Tax Tables'!$B$29)*'Tax Tables'!$B$30,MIN(MAX(H174,0),'Tax Tables'!$B$23)*'Tax Tables'!$B$24+MIN(MAX(MAX(H174,0)-'Tax Tables'!$B$23,0),'Tax Tables'!$B$25)*'Tax Tables'!$B$26))*Calculator!$B$11,Calculator!$B$12)</f>
        <v>36890</v>
      </c>
      <c r="J174" s="11" t="n">
        <f aca="false">MAX(H174,0)-I174</f>
        <v>282610</v>
      </c>
      <c r="K174" s="11" t="n">
        <f aca="false">MIN(IF(A174&gt;0,Calculator!$B$13,0)+E174+Calculator!$B$14,'Tax Tables'!$B$36)</f>
        <v>1000</v>
      </c>
      <c r="L174" s="11" t="n">
        <f aca="false">MAX(A174-K174,0)</f>
        <v>79500</v>
      </c>
      <c r="M174" s="11" t="n">
        <f aca="false">SUMPRODUCT((L174&gt;'Tax Tables'!$A$5:$A$17)*(L174-'Tax Tables'!$A$5:$A$17)*'Tax Tables'!$C$5:$C$17)</f>
        <v>3315</v>
      </c>
      <c r="N174" s="11" t="n">
        <f aca="false">IF(H174&lt;0,-1E+099,A174-E174-M174+J174+(E174+F174)*Calculator!$B$9)</f>
        <v>359795</v>
      </c>
      <c r="O174" s="2"/>
      <c r="P174" s="11" t="n">
        <f aca="false">161*$B$3</f>
        <v>80500</v>
      </c>
      <c r="Q174" s="11" t="n">
        <f aca="false">MIN(P174,'Tax Tables'!$B$31*'Tax Tables'!$B$32)</f>
        <v>80500</v>
      </c>
      <c r="R174" s="11" t="n">
        <f aca="false">P174-Q174</f>
        <v>0</v>
      </c>
      <c r="S174" s="11" t="n">
        <f aca="false">IF(Calculator!$B$6="Yes",MIN(Q174,'Tax Tables'!$B$31*'Tax Tables'!$B$32),0)</f>
        <v>80500</v>
      </c>
      <c r="T174" s="11" t="n">
        <f aca="false">S174*Calculator!$B$7</f>
        <v>16100</v>
      </c>
      <c r="U174" s="11" t="n">
        <f aca="false">S174*Calculator!$B$8</f>
        <v>13685</v>
      </c>
      <c r="V174" s="11" t="n">
        <f aca="false">IF(Q174&gt;0,'Tax Tables'!$B$32*MIN(MAX(Q174/'Tax Tables'!$B$32*'Tax Tables'!$B$33,'Tax Tables'!$B$34),'Tax Tables'!$B$35),0)</f>
        <v>135</v>
      </c>
      <c r="W174" s="11" t="n">
        <f aca="false">Calculator!$B$5-P174-U174-V174</f>
        <v>305680</v>
      </c>
      <c r="X174" s="11" t="n">
        <f aca="false">'Tax Tables'!$B$22*(MAX(W174,0)-IF(Calculator!$B$10="Yes",MIN(MAX(W174,0),'Tax Tables'!$B$27)*'Tax Tables'!$B$28+MIN(MAX(MAX(W174,0)-'Tax Tables'!$B$27,0),'Tax Tables'!$B$29)*'Tax Tables'!$B$30,MIN(MAX(W174,0),'Tax Tables'!$B$23)*'Tax Tables'!$B$24+MIN(MAX(MAX(W174,0)-'Tax Tables'!$B$23,0),'Tax Tables'!$B$25)*'Tax Tables'!$B$26))*1-MIN('Tax Tables'!$B$22*(MAX(W174,0)-IF(Calculator!$B$10="Yes",MIN(MAX(W174,0),'Tax Tables'!$B$27)*'Tax Tables'!$B$28+MIN(MAX(MAX(W174,0)-'Tax Tables'!$B$27,0),'Tax Tables'!$B$29)*'Tax Tables'!$B$30,MIN(MAX(W174,0),'Tax Tables'!$B$23)*'Tax Tables'!$B$24+MIN(MAX(MAX(W174,0)-'Tax Tables'!$B$23,0),'Tax Tables'!$B$25)*'Tax Tables'!$B$26))*Calculator!$B$11,Calculator!$B$12)</f>
        <v>34540.6</v>
      </c>
      <c r="Y174" s="11" t="n">
        <f aca="false">MAX(W174,0)-X174</f>
        <v>271139.4</v>
      </c>
      <c r="Z174" s="11" t="n">
        <f aca="false">MIN(IF(P174&gt;0,Calculator!$B$13,0)+T174+Calculator!$B$14,'Tax Tables'!$B$36)</f>
        <v>17100</v>
      </c>
      <c r="AA174" s="11" t="n">
        <f aca="false">MAX(P174-Z174,0)</f>
        <v>63400</v>
      </c>
      <c r="AB174" s="11" t="n">
        <f aca="false">SUMPRODUCT((AA174&gt;'Tax Tables'!$A$5:$A$17)*(AA174-'Tax Tables'!$A$5:$A$17)*'Tax Tables'!$C$5:$C$17)</f>
        <v>2188</v>
      </c>
      <c r="AC174" s="11" t="n">
        <f aca="false">IF(W174&lt;0,-1E+099,P174-T174-AB174+Y174+(T174+U174)*Calculator!$B$9)</f>
        <v>363136.4</v>
      </c>
    </row>
    <row r="175" customFormat="false" ht="15" hidden="false" customHeight="false" outlineLevel="0" collapsed="false">
      <c r="A175" s="11" t="n">
        <f aca="false">162*$B$3</f>
        <v>81000</v>
      </c>
      <c r="B175" s="11" t="n">
        <f aca="false">0</f>
        <v>0</v>
      </c>
      <c r="C175" s="11" t="n">
        <f aca="false">A175-B175</f>
        <v>81000</v>
      </c>
      <c r="D175" s="11" t="n">
        <f aca="false">IF(Calculator!$B$6="Yes",MIN(B175,'Tax Tables'!$B$31*'Tax Tables'!$B$32),0)</f>
        <v>0</v>
      </c>
      <c r="E175" s="11" t="n">
        <f aca="false">D175*Calculator!$B$7</f>
        <v>0</v>
      </c>
      <c r="F175" s="11" t="n">
        <f aca="false">D175*Calculator!$B$8</f>
        <v>0</v>
      </c>
      <c r="G175" s="11" t="n">
        <f aca="false">IF(B175&gt;0,'Tax Tables'!$B$32*MIN(MAX(B175/'Tax Tables'!$B$32*'Tax Tables'!$B$33,'Tax Tables'!$B$34),'Tax Tables'!$B$35),0)</f>
        <v>0</v>
      </c>
      <c r="H175" s="11" t="n">
        <f aca="false">Calculator!$B$5-A175-F175-G175</f>
        <v>319000</v>
      </c>
      <c r="I175" s="11" t="n">
        <f aca="false">'Tax Tables'!$B$22*(MAX(H175,0)-IF(Calculator!$B$10="Yes",MIN(MAX(H175,0),'Tax Tables'!$B$27)*'Tax Tables'!$B$28+MIN(MAX(MAX(H175,0)-'Tax Tables'!$B$27,0),'Tax Tables'!$B$29)*'Tax Tables'!$B$30,MIN(MAX(H175,0),'Tax Tables'!$B$23)*'Tax Tables'!$B$24+MIN(MAX(MAX(H175,0)-'Tax Tables'!$B$23,0),'Tax Tables'!$B$25)*'Tax Tables'!$B$26))*1-MIN('Tax Tables'!$B$22*(MAX(H175,0)-IF(Calculator!$B$10="Yes",MIN(MAX(H175,0),'Tax Tables'!$B$27)*'Tax Tables'!$B$28+MIN(MAX(MAX(H175,0)-'Tax Tables'!$B$27,0),'Tax Tables'!$B$29)*'Tax Tables'!$B$30,MIN(MAX(H175,0),'Tax Tables'!$B$23)*'Tax Tables'!$B$24+MIN(MAX(MAX(H175,0)-'Tax Tables'!$B$23,0),'Tax Tables'!$B$25)*'Tax Tables'!$B$26))*Calculator!$B$11,Calculator!$B$12)</f>
        <v>36805</v>
      </c>
      <c r="J175" s="11" t="n">
        <f aca="false">MAX(H175,0)-I175</f>
        <v>282195</v>
      </c>
      <c r="K175" s="11" t="n">
        <f aca="false">MIN(IF(A175&gt;0,Calculator!$B$13,0)+E175+Calculator!$B$14,'Tax Tables'!$B$36)</f>
        <v>1000</v>
      </c>
      <c r="L175" s="11" t="n">
        <f aca="false">MAX(A175-K175,0)</f>
        <v>80000</v>
      </c>
      <c r="M175" s="11" t="n">
        <f aca="false">SUMPRODUCT((L175&gt;'Tax Tables'!$A$5:$A$17)*(L175-'Tax Tables'!$A$5:$A$17)*'Tax Tables'!$C$5:$C$17)</f>
        <v>3350</v>
      </c>
      <c r="N175" s="11" t="n">
        <f aca="false">IF(H175&lt;0,-1E+099,A175-E175-M175+J175+(E175+F175)*Calculator!$B$9)</f>
        <v>359845</v>
      </c>
      <c r="O175" s="2"/>
      <c r="P175" s="11" t="n">
        <f aca="false">162*$B$3</f>
        <v>81000</v>
      </c>
      <c r="Q175" s="11" t="n">
        <f aca="false">MIN(P175,'Tax Tables'!$B$31*'Tax Tables'!$B$32)</f>
        <v>81000</v>
      </c>
      <c r="R175" s="11" t="n">
        <f aca="false">P175-Q175</f>
        <v>0</v>
      </c>
      <c r="S175" s="11" t="n">
        <f aca="false">IF(Calculator!$B$6="Yes",MIN(Q175,'Tax Tables'!$B$31*'Tax Tables'!$B$32),0)</f>
        <v>81000</v>
      </c>
      <c r="T175" s="11" t="n">
        <f aca="false">S175*Calculator!$B$7</f>
        <v>16200</v>
      </c>
      <c r="U175" s="11" t="n">
        <f aca="false">S175*Calculator!$B$8</f>
        <v>13770</v>
      </c>
      <c r="V175" s="11" t="n">
        <f aca="false">IF(Q175&gt;0,'Tax Tables'!$B$32*MIN(MAX(Q175/'Tax Tables'!$B$32*'Tax Tables'!$B$33,'Tax Tables'!$B$34),'Tax Tables'!$B$35),0)</f>
        <v>135</v>
      </c>
      <c r="W175" s="11" t="n">
        <f aca="false">Calculator!$B$5-P175-U175-V175</f>
        <v>305095</v>
      </c>
      <c r="X175" s="11" t="n">
        <f aca="false">'Tax Tables'!$B$22*(MAX(W175,0)-IF(Calculator!$B$10="Yes",MIN(MAX(W175,0),'Tax Tables'!$B$27)*'Tax Tables'!$B$28+MIN(MAX(MAX(W175,0)-'Tax Tables'!$B$27,0),'Tax Tables'!$B$29)*'Tax Tables'!$B$30,MIN(MAX(W175,0),'Tax Tables'!$B$23)*'Tax Tables'!$B$24+MIN(MAX(MAX(W175,0)-'Tax Tables'!$B$23,0),'Tax Tables'!$B$25)*'Tax Tables'!$B$26))*1-MIN('Tax Tables'!$B$22*(MAX(W175,0)-IF(Calculator!$B$10="Yes",MIN(MAX(W175,0),'Tax Tables'!$B$27)*'Tax Tables'!$B$28+MIN(MAX(MAX(W175,0)-'Tax Tables'!$B$27,0),'Tax Tables'!$B$29)*'Tax Tables'!$B$30,MIN(MAX(W175,0),'Tax Tables'!$B$23)*'Tax Tables'!$B$24+MIN(MAX(MAX(W175,0)-'Tax Tables'!$B$23,0),'Tax Tables'!$B$25)*'Tax Tables'!$B$26))*Calculator!$B$11,Calculator!$B$12)</f>
        <v>34441.15</v>
      </c>
      <c r="Y175" s="11" t="n">
        <f aca="false">MAX(W175,0)-X175</f>
        <v>270653.85</v>
      </c>
      <c r="Z175" s="11" t="n">
        <f aca="false">MIN(IF(P175&gt;0,Calculator!$B$13,0)+T175+Calculator!$B$14,'Tax Tables'!$B$36)</f>
        <v>17200</v>
      </c>
      <c r="AA175" s="11" t="n">
        <f aca="false">MAX(P175-Z175,0)</f>
        <v>63800</v>
      </c>
      <c r="AB175" s="11" t="n">
        <f aca="false">SUMPRODUCT((AA175&gt;'Tax Tables'!$A$5:$A$17)*(AA175-'Tax Tables'!$A$5:$A$17)*'Tax Tables'!$C$5:$C$17)</f>
        <v>2216</v>
      </c>
      <c r="AC175" s="11" t="n">
        <f aca="false">IF(W175&lt;0,-1E+099,P175-T175-AB175+Y175+(T175+U175)*Calculator!$B$9)</f>
        <v>363207.85</v>
      </c>
    </row>
    <row r="176" customFormat="false" ht="15" hidden="false" customHeight="false" outlineLevel="0" collapsed="false">
      <c r="A176" s="11" t="n">
        <f aca="false">163*$B$3</f>
        <v>81500</v>
      </c>
      <c r="B176" s="11" t="n">
        <f aca="false">0</f>
        <v>0</v>
      </c>
      <c r="C176" s="11" t="n">
        <f aca="false">A176-B176</f>
        <v>81500</v>
      </c>
      <c r="D176" s="11" t="n">
        <f aca="false">IF(Calculator!$B$6="Yes",MIN(B176,'Tax Tables'!$B$31*'Tax Tables'!$B$32),0)</f>
        <v>0</v>
      </c>
      <c r="E176" s="11" t="n">
        <f aca="false">D176*Calculator!$B$7</f>
        <v>0</v>
      </c>
      <c r="F176" s="11" t="n">
        <f aca="false">D176*Calculator!$B$8</f>
        <v>0</v>
      </c>
      <c r="G176" s="11" t="n">
        <f aca="false">IF(B176&gt;0,'Tax Tables'!$B$32*MIN(MAX(B176/'Tax Tables'!$B$32*'Tax Tables'!$B$33,'Tax Tables'!$B$34),'Tax Tables'!$B$35),0)</f>
        <v>0</v>
      </c>
      <c r="H176" s="11" t="n">
        <f aca="false">Calculator!$B$5-A176-F176-G176</f>
        <v>318500</v>
      </c>
      <c r="I176" s="11" t="n">
        <f aca="false">'Tax Tables'!$B$22*(MAX(H176,0)-IF(Calculator!$B$10="Yes",MIN(MAX(H176,0),'Tax Tables'!$B$27)*'Tax Tables'!$B$28+MIN(MAX(MAX(H176,0)-'Tax Tables'!$B$27,0),'Tax Tables'!$B$29)*'Tax Tables'!$B$30,MIN(MAX(H176,0),'Tax Tables'!$B$23)*'Tax Tables'!$B$24+MIN(MAX(MAX(H176,0)-'Tax Tables'!$B$23,0),'Tax Tables'!$B$25)*'Tax Tables'!$B$26))*1-MIN('Tax Tables'!$B$22*(MAX(H176,0)-IF(Calculator!$B$10="Yes",MIN(MAX(H176,0),'Tax Tables'!$B$27)*'Tax Tables'!$B$28+MIN(MAX(MAX(H176,0)-'Tax Tables'!$B$27,0),'Tax Tables'!$B$29)*'Tax Tables'!$B$30,MIN(MAX(H176,0),'Tax Tables'!$B$23)*'Tax Tables'!$B$24+MIN(MAX(MAX(H176,0)-'Tax Tables'!$B$23,0),'Tax Tables'!$B$25)*'Tax Tables'!$B$26))*Calculator!$B$11,Calculator!$B$12)</f>
        <v>36720</v>
      </c>
      <c r="J176" s="11" t="n">
        <f aca="false">MAX(H176,0)-I176</f>
        <v>281780</v>
      </c>
      <c r="K176" s="11" t="n">
        <f aca="false">MIN(IF(A176&gt;0,Calculator!$B$13,0)+E176+Calculator!$B$14,'Tax Tables'!$B$36)</f>
        <v>1000</v>
      </c>
      <c r="L176" s="11" t="n">
        <f aca="false">MAX(A176-K176,0)</f>
        <v>80500</v>
      </c>
      <c r="M176" s="11" t="n">
        <f aca="false">SUMPRODUCT((L176&gt;'Tax Tables'!$A$5:$A$17)*(L176-'Tax Tables'!$A$5:$A$17)*'Tax Tables'!$C$5:$C$17)</f>
        <v>3407.5</v>
      </c>
      <c r="N176" s="11" t="n">
        <f aca="false">IF(H176&lt;0,-1E+099,A176-E176-M176+J176+(E176+F176)*Calculator!$B$9)</f>
        <v>359872.5</v>
      </c>
      <c r="O176" s="2"/>
      <c r="P176" s="11" t="n">
        <f aca="false">163*$B$3</f>
        <v>81500</v>
      </c>
      <c r="Q176" s="11" t="n">
        <f aca="false">MIN(P176,'Tax Tables'!$B$31*'Tax Tables'!$B$32)</f>
        <v>81500</v>
      </c>
      <c r="R176" s="11" t="n">
        <f aca="false">P176-Q176</f>
        <v>0</v>
      </c>
      <c r="S176" s="11" t="n">
        <f aca="false">IF(Calculator!$B$6="Yes",MIN(Q176,'Tax Tables'!$B$31*'Tax Tables'!$B$32),0)</f>
        <v>81500</v>
      </c>
      <c r="T176" s="11" t="n">
        <f aca="false">S176*Calculator!$B$7</f>
        <v>16300</v>
      </c>
      <c r="U176" s="11" t="n">
        <f aca="false">S176*Calculator!$B$8</f>
        <v>13855</v>
      </c>
      <c r="V176" s="11" t="n">
        <f aca="false">IF(Q176&gt;0,'Tax Tables'!$B$32*MIN(MAX(Q176/'Tax Tables'!$B$32*'Tax Tables'!$B$33,'Tax Tables'!$B$34),'Tax Tables'!$B$35),0)</f>
        <v>135</v>
      </c>
      <c r="W176" s="11" t="n">
        <f aca="false">Calculator!$B$5-P176-U176-V176</f>
        <v>304510</v>
      </c>
      <c r="X176" s="11" t="n">
        <f aca="false">'Tax Tables'!$B$22*(MAX(W176,0)-IF(Calculator!$B$10="Yes",MIN(MAX(W176,0),'Tax Tables'!$B$27)*'Tax Tables'!$B$28+MIN(MAX(MAX(W176,0)-'Tax Tables'!$B$27,0),'Tax Tables'!$B$29)*'Tax Tables'!$B$30,MIN(MAX(W176,0),'Tax Tables'!$B$23)*'Tax Tables'!$B$24+MIN(MAX(MAX(W176,0)-'Tax Tables'!$B$23,0),'Tax Tables'!$B$25)*'Tax Tables'!$B$26))*1-MIN('Tax Tables'!$B$22*(MAX(W176,0)-IF(Calculator!$B$10="Yes",MIN(MAX(W176,0),'Tax Tables'!$B$27)*'Tax Tables'!$B$28+MIN(MAX(MAX(W176,0)-'Tax Tables'!$B$27,0),'Tax Tables'!$B$29)*'Tax Tables'!$B$30,MIN(MAX(W176,0),'Tax Tables'!$B$23)*'Tax Tables'!$B$24+MIN(MAX(MAX(W176,0)-'Tax Tables'!$B$23,0),'Tax Tables'!$B$25)*'Tax Tables'!$B$26))*Calculator!$B$11,Calculator!$B$12)</f>
        <v>34341.7</v>
      </c>
      <c r="Y176" s="11" t="n">
        <f aca="false">MAX(W176,0)-X176</f>
        <v>270168.3</v>
      </c>
      <c r="Z176" s="11" t="n">
        <f aca="false">MIN(IF(P176&gt;0,Calculator!$B$13,0)+T176+Calculator!$B$14,'Tax Tables'!$B$36)</f>
        <v>17300</v>
      </c>
      <c r="AA176" s="11" t="n">
        <f aca="false">MAX(P176-Z176,0)</f>
        <v>64200</v>
      </c>
      <c r="AB176" s="11" t="n">
        <f aca="false">SUMPRODUCT((AA176&gt;'Tax Tables'!$A$5:$A$17)*(AA176-'Tax Tables'!$A$5:$A$17)*'Tax Tables'!$C$5:$C$17)</f>
        <v>2244</v>
      </c>
      <c r="AC176" s="11" t="n">
        <f aca="false">IF(W176&lt;0,-1E+099,P176-T176-AB176+Y176+(T176+U176)*Calculator!$B$9)</f>
        <v>363279.3</v>
      </c>
    </row>
    <row r="177" customFormat="false" ht="15" hidden="false" customHeight="false" outlineLevel="0" collapsed="false">
      <c r="A177" s="11" t="n">
        <f aca="false">164*$B$3</f>
        <v>82000</v>
      </c>
      <c r="B177" s="11" t="n">
        <f aca="false">0</f>
        <v>0</v>
      </c>
      <c r="C177" s="11" t="n">
        <f aca="false">A177-B177</f>
        <v>82000</v>
      </c>
      <c r="D177" s="11" t="n">
        <f aca="false">IF(Calculator!$B$6="Yes",MIN(B177,'Tax Tables'!$B$31*'Tax Tables'!$B$32),0)</f>
        <v>0</v>
      </c>
      <c r="E177" s="11" t="n">
        <f aca="false">D177*Calculator!$B$7</f>
        <v>0</v>
      </c>
      <c r="F177" s="11" t="n">
        <f aca="false">D177*Calculator!$B$8</f>
        <v>0</v>
      </c>
      <c r="G177" s="11" t="n">
        <f aca="false">IF(B177&gt;0,'Tax Tables'!$B$32*MIN(MAX(B177/'Tax Tables'!$B$32*'Tax Tables'!$B$33,'Tax Tables'!$B$34),'Tax Tables'!$B$35),0)</f>
        <v>0</v>
      </c>
      <c r="H177" s="11" t="n">
        <f aca="false">Calculator!$B$5-A177-F177-G177</f>
        <v>318000</v>
      </c>
      <c r="I177" s="11" t="n">
        <f aca="false">'Tax Tables'!$B$22*(MAX(H177,0)-IF(Calculator!$B$10="Yes",MIN(MAX(H177,0),'Tax Tables'!$B$27)*'Tax Tables'!$B$28+MIN(MAX(MAX(H177,0)-'Tax Tables'!$B$27,0),'Tax Tables'!$B$29)*'Tax Tables'!$B$30,MIN(MAX(H177,0),'Tax Tables'!$B$23)*'Tax Tables'!$B$24+MIN(MAX(MAX(H177,0)-'Tax Tables'!$B$23,0),'Tax Tables'!$B$25)*'Tax Tables'!$B$26))*1-MIN('Tax Tables'!$B$22*(MAX(H177,0)-IF(Calculator!$B$10="Yes",MIN(MAX(H177,0),'Tax Tables'!$B$27)*'Tax Tables'!$B$28+MIN(MAX(MAX(H177,0)-'Tax Tables'!$B$27,0),'Tax Tables'!$B$29)*'Tax Tables'!$B$30,MIN(MAX(H177,0),'Tax Tables'!$B$23)*'Tax Tables'!$B$24+MIN(MAX(MAX(H177,0)-'Tax Tables'!$B$23,0),'Tax Tables'!$B$25)*'Tax Tables'!$B$26))*Calculator!$B$11,Calculator!$B$12)</f>
        <v>36635</v>
      </c>
      <c r="J177" s="11" t="n">
        <f aca="false">MAX(H177,0)-I177</f>
        <v>281365</v>
      </c>
      <c r="K177" s="11" t="n">
        <f aca="false">MIN(IF(A177&gt;0,Calculator!$B$13,0)+E177+Calculator!$B$14,'Tax Tables'!$B$36)</f>
        <v>1000</v>
      </c>
      <c r="L177" s="11" t="n">
        <f aca="false">MAX(A177-K177,0)</f>
        <v>81000</v>
      </c>
      <c r="M177" s="11" t="n">
        <f aca="false">SUMPRODUCT((L177&gt;'Tax Tables'!$A$5:$A$17)*(L177-'Tax Tables'!$A$5:$A$17)*'Tax Tables'!$C$5:$C$17)</f>
        <v>3465</v>
      </c>
      <c r="N177" s="11" t="n">
        <f aca="false">IF(H177&lt;0,-1E+099,A177-E177-M177+J177+(E177+F177)*Calculator!$B$9)</f>
        <v>359900</v>
      </c>
      <c r="O177" s="2"/>
      <c r="P177" s="11" t="n">
        <f aca="false">164*$B$3</f>
        <v>82000</v>
      </c>
      <c r="Q177" s="11" t="n">
        <f aca="false">MIN(P177,'Tax Tables'!$B$31*'Tax Tables'!$B$32)</f>
        <v>82000</v>
      </c>
      <c r="R177" s="11" t="n">
        <f aca="false">P177-Q177</f>
        <v>0</v>
      </c>
      <c r="S177" s="11" t="n">
        <f aca="false">IF(Calculator!$B$6="Yes",MIN(Q177,'Tax Tables'!$B$31*'Tax Tables'!$B$32),0)</f>
        <v>82000</v>
      </c>
      <c r="T177" s="11" t="n">
        <f aca="false">S177*Calculator!$B$7</f>
        <v>16400</v>
      </c>
      <c r="U177" s="11" t="n">
        <f aca="false">S177*Calculator!$B$8</f>
        <v>13940</v>
      </c>
      <c r="V177" s="11" t="n">
        <f aca="false">IF(Q177&gt;0,'Tax Tables'!$B$32*MIN(MAX(Q177/'Tax Tables'!$B$32*'Tax Tables'!$B$33,'Tax Tables'!$B$34),'Tax Tables'!$B$35),0)</f>
        <v>135</v>
      </c>
      <c r="W177" s="11" t="n">
        <f aca="false">Calculator!$B$5-P177-U177-V177</f>
        <v>303925</v>
      </c>
      <c r="X177" s="11" t="n">
        <f aca="false">'Tax Tables'!$B$22*(MAX(W177,0)-IF(Calculator!$B$10="Yes",MIN(MAX(W177,0),'Tax Tables'!$B$27)*'Tax Tables'!$B$28+MIN(MAX(MAX(W177,0)-'Tax Tables'!$B$27,0),'Tax Tables'!$B$29)*'Tax Tables'!$B$30,MIN(MAX(W177,0),'Tax Tables'!$B$23)*'Tax Tables'!$B$24+MIN(MAX(MAX(W177,0)-'Tax Tables'!$B$23,0),'Tax Tables'!$B$25)*'Tax Tables'!$B$26))*1-MIN('Tax Tables'!$B$22*(MAX(W177,0)-IF(Calculator!$B$10="Yes",MIN(MAX(W177,0),'Tax Tables'!$B$27)*'Tax Tables'!$B$28+MIN(MAX(MAX(W177,0)-'Tax Tables'!$B$27,0),'Tax Tables'!$B$29)*'Tax Tables'!$B$30,MIN(MAX(W177,0),'Tax Tables'!$B$23)*'Tax Tables'!$B$24+MIN(MAX(MAX(W177,0)-'Tax Tables'!$B$23,0),'Tax Tables'!$B$25)*'Tax Tables'!$B$26))*Calculator!$B$11,Calculator!$B$12)</f>
        <v>34242.25</v>
      </c>
      <c r="Y177" s="11" t="n">
        <f aca="false">MAX(W177,0)-X177</f>
        <v>269682.75</v>
      </c>
      <c r="Z177" s="11" t="n">
        <f aca="false">MIN(IF(P177&gt;0,Calculator!$B$13,0)+T177+Calculator!$B$14,'Tax Tables'!$B$36)</f>
        <v>17400</v>
      </c>
      <c r="AA177" s="11" t="n">
        <f aca="false">MAX(P177-Z177,0)</f>
        <v>64600</v>
      </c>
      <c r="AB177" s="11" t="n">
        <f aca="false">SUMPRODUCT((AA177&gt;'Tax Tables'!$A$5:$A$17)*(AA177-'Tax Tables'!$A$5:$A$17)*'Tax Tables'!$C$5:$C$17)</f>
        <v>2272</v>
      </c>
      <c r="AC177" s="11" t="n">
        <f aca="false">IF(W177&lt;0,-1E+099,P177-T177-AB177+Y177+(T177+U177)*Calculator!$B$9)</f>
        <v>363350.75</v>
      </c>
    </row>
    <row r="178" customFormat="false" ht="15" hidden="false" customHeight="false" outlineLevel="0" collapsed="false">
      <c r="A178" s="11" t="n">
        <f aca="false">165*$B$3</f>
        <v>82500</v>
      </c>
      <c r="B178" s="11" t="n">
        <f aca="false">0</f>
        <v>0</v>
      </c>
      <c r="C178" s="11" t="n">
        <f aca="false">A178-B178</f>
        <v>82500</v>
      </c>
      <c r="D178" s="11" t="n">
        <f aca="false">IF(Calculator!$B$6="Yes",MIN(B178,'Tax Tables'!$B$31*'Tax Tables'!$B$32),0)</f>
        <v>0</v>
      </c>
      <c r="E178" s="11" t="n">
        <f aca="false">D178*Calculator!$B$7</f>
        <v>0</v>
      </c>
      <c r="F178" s="11" t="n">
        <f aca="false">D178*Calculator!$B$8</f>
        <v>0</v>
      </c>
      <c r="G178" s="11" t="n">
        <f aca="false">IF(B178&gt;0,'Tax Tables'!$B$32*MIN(MAX(B178/'Tax Tables'!$B$32*'Tax Tables'!$B$33,'Tax Tables'!$B$34),'Tax Tables'!$B$35),0)</f>
        <v>0</v>
      </c>
      <c r="H178" s="11" t="n">
        <f aca="false">Calculator!$B$5-A178-F178-G178</f>
        <v>317500</v>
      </c>
      <c r="I178" s="11" t="n">
        <f aca="false">'Tax Tables'!$B$22*(MAX(H178,0)-IF(Calculator!$B$10="Yes",MIN(MAX(H178,0),'Tax Tables'!$B$27)*'Tax Tables'!$B$28+MIN(MAX(MAX(H178,0)-'Tax Tables'!$B$27,0),'Tax Tables'!$B$29)*'Tax Tables'!$B$30,MIN(MAX(H178,0),'Tax Tables'!$B$23)*'Tax Tables'!$B$24+MIN(MAX(MAX(H178,0)-'Tax Tables'!$B$23,0),'Tax Tables'!$B$25)*'Tax Tables'!$B$26))*1-MIN('Tax Tables'!$B$22*(MAX(H178,0)-IF(Calculator!$B$10="Yes",MIN(MAX(H178,0),'Tax Tables'!$B$27)*'Tax Tables'!$B$28+MIN(MAX(MAX(H178,0)-'Tax Tables'!$B$27,0),'Tax Tables'!$B$29)*'Tax Tables'!$B$30,MIN(MAX(H178,0),'Tax Tables'!$B$23)*'Tax Tables'!$B$24+MIN(MAX(MAX(H178,0)-'Tax Tables'!$B$23,0),'Tax Tables'!$B$25)*'Tax Tables'!$B$26))*Calculator!$B$11,Calculator!$B$12)</f>
        <v>36550</v>
      </c>
      <c r="J178" s="11" t="n">
        <f aca="false">MAX(H178,0)-I178</f>
        <v>280950</v>
      </c>
      <c r="K178" s="11" t="n">
        <f aca="false">MIN(IF(A178&gt;0,Calculator!$B$13,0)+E178+Calculator!$B$14,'Tax Tables'!$B$36)</f>
        <v>1000</v>
      </c>
      <c r="L178" s="11" t="n">
        <f aca="false">MAX(A178-K178,0)</f>
        <v>81500</v>
      </c>
      <c r="M178" s="11" t="n">
        <f aca="false">SUMPRODUCT((L178&gt;'Tax Tables'!$A$5:$A$17)*(L178-'Tax Tables'!$A$5:$A$17)*'Tax Tables'!$C$5:$C$17)</f>
        <v>3522.5</v>
      </c>
      <c r="N178" s="11" t="n">
        <f aca="false">IF(H178&lt;0,-1E+099,A178-E178-M178+J178+(E178+F178)*Calculator!$B$9)</f>
        <v>359927.5</v>
      </c>
      <c r="O178" s="2"/>
      <c r="P178" s="11" t="n">
        <f aca="false">165*$B$3</f>
        <v>82500</v>
      </c>
      <c r="Q178" s="11" t="n">
        <f aca="false">MIN(P178,'Tax Tables'!$B$31*'Tax Tables'!$B$32)</f>
        <v>82500</v>
      </c>
      <c r="R178" s="11" t="n">
        <f aca="false">P178-Q178</f>
        <v>0</v>
      </c>
      <c r="S178" s="11" t="n">
        <f aca="false">IF(Calculator!$B$6="Yes",MIN(Q178,'Tax Tables'!$B$31*'Tax Tables'!$B$32),0)</f>
        <v>82500</v>
      </c>
      <c r="T178" s="11" t="n">
        <f aca="false">S178*Calculator!$B$7</f>
        <v>16500</v>
      </c>
      <c r="U178" s="11" t="n">
        <f aca="false">S178*Calculator!$B$8</f>
        <v>14025</v>
      </c>
      <c r="V178" s="11" t="n">
        <f aca="false">IF(Q178&gt;0,'Tax Tables'!$B$32*MIN(MAX(Q178/'Tax Tables'!$B$32*'Tax Tables'!$B$33,'Tax Tables'!$B$34),'Tax Tables'!$B$35),0)</f>
        <v>135</v>
      </c>
      <c r="W178" s="11" t="n">
        <f aca="false">Calculator!$B$5-P178-U178-V178</f>
        <v>303340</v>
      </c>
      <c r="X178" s="11" t="n">
        <f aca="false">'Tax Tables'!$B$22*(MAX(W178,0)-IF(Calculator!$B$10="Yes",MIN(MAX(W178,0),'Tax Tables'!$B$27)*'Tax Tables'!$B$28+MIN(MAX(MAX(W178,0)-'Tax Tables'!$B$27,0),'Tax Tables'!$B$29)*'Tax Tables'!$B$30,MIN(MAX(W178,0),'Tax Tables'!$B$23)*'Tax Tables'!$B$24+MIN(MAX(MAX(W178,0)-'Tax Tables'!$B$23,0),'Tax Tables'!$B$25)*'Tax Tables'!$B$26))*1-MIN('Tax Tables'!$B$22*(MAX(W178,0)-IF(Calculator!$B$10="Yes",MIN(MAX(W178,0),'Tax Tables'!$B$27)*'Tax Tables'!$B$28+MIN(MAX(MAX(W178,0)-'Tax Tables'!$B$27,0),'Tax Tables'!$B$29)*'Tax Tables'!$B$30,MIN(MAX(W178,0),'Tax Tables'!$B$23)*'Tax Tables'!$B$24+MIN(MAX(MAX(W178,0)-'Tax Tables'!$B$23,0),'Tax Tables'!$B$25)*'Tax Tables'!$B$26))*Calculator!$B$11,Calculator!$B$12)</f>
        <v>34142.8</v>
      </c>
      <c r="Y178" s="11" t="n">
        <f aca="false">MAX(W178,0)-X178</f>
        <v>269197.2</v>
      </c>
      <c r="Z178" s="11" t="n">
        <f aca="false">MIN(IF(P178&gt;0,Calculator!$B$13,0)+T178+Calculator!$B$14,'Tax Tables'!$B$36)</f>
        <v>17500</v>
      </c>
      <c r="AA178" s="11" t="n">
        <f aca="false">MAX(P178-Z178,0)</f>
        <v>65000</v>
      </c>
      <c r="AB178" s="11" t="n">
        <f aca="false">SUMPRODUCT((AA178&gt;'Tax Tables'!$A$5:$A$17)*(AA178-'Tax Tables'!$A$5:$A$17)*'Tax Tables'!$C$5:$C$17)</f>
        <v>2300</v>
      </c>
      <c r="AC178" s="11" t="n">
        <f aca="false">IF(W178&lt;0,-1E+099,P178-T178-AB178+Y178+(T178+U178)*Calculator!$B$9)</f>
        <v>363422.2</v>
      </c>
    </row>
    <row r="179" customFormat="false" ht="15" hidden="false" customHeight="false" outlineLevel="0" collapsed="false">
      <c r="A179" s="11" t="n">
        <f aca="false">166*$B$3</f>
        <v>83000</v>
      </c>
      <c r="B179" s="11" t="n">
        <f aca="false">0</f>
        <v>0</v>
      </c>
      <c r="C179" s="11" t="n">
        <f aca="false">A179-B179</f>
        <v>83000</v>
      </c>
      <c r="D179" s="11" t="n">
        <f aca="false">IF(Calculator!$B$6="Yes",MIN(B179,'Tax Tables'!$B$31*'Tax Tables'!$B$32),0)</f>
        <v>0</v>
      </c>
      <c r="E179" s="11" t="n">
        <f aca="false">D179*Calculator!$B$7</f>
        <v>0</v>
      </c>
      <c r="F179" s="11" t="n">
        <f aca="false">D179*Calculator!$B$8</f>
        <v>0</v>
      </c>
      <c r="G179" s="11" t="n">
        <f aca="false">IF(B179&gt;0,'Tax Tables'!$B$32*MIN(MAX(B179/'Tax Tables'!$B$32*'Tax Tables'!$B$33,'Tax Tables'!$B$34),'Tax Tables'!$B$35),0)</f>
        <v>0</v>
      </c>
      <c r="H179" s="11" t="n">
        <f aca="false">Calculator!$B$5-A179-F179-G179</f>
        <v>317000</v>
      </c>
      <c r="I179" s="11" t="n">
        <f aca="false">'Tax Tables'!$B$22*(MAX(H179,0)-IF(Calculator!$B$10="Yes",MIN(MAX(H179,0),'Tax Tables'!$B$27)*'Tax Tables'!$B$28+MIN(MAX(MAX(H179,0)-'Tax Tables'!$B$27,0),'Tax Tables'!$B$29)*'Tax Tables'!$B$30,MIN(MAX(H179,0),'Tax Tables'!$B$23)*'Tax Tables'!$B$24+MIN(MAX(MAX(H179,0)-'Tax Tables'!$B$23,0),'Tax Tables'!$B$25)*'Tax Tables'!$B$26))*1-MIN('Tax Tables'!$B$22*(MAX(H179,0)-IF(Calculator!$B$10="Yes",MIN(MAX(H179,0),'Tax Tables'!$B$27)*'Tax Tables'!$B$28+MIN(MAX(MAX(H179,0)-'Tax Tables'!$B$27,0),'Tax Tables'!$B$29)*'Tax Tables'!$B$30,MIN(MAX(H179,0),'Tax Tables'!$B$23)*'Tax Tables'!$B$24+MIN(MAX(MAX(H179,0)-'Tax Tables'!$B$23,0),'Tax Tables'!$B$25)*'Tax Tables'!$B$26))*Calculator!$B$11,Calculator!$B$12)</f>
        <v>36465</v>
      </c>
      <c r="J179" s="11" t="n">
        <f aca="false">MAX(H179,0)-I179</f>
        <v>280535</v>
      </c>
      <c r="K179" s="11" t="n">
        <f aca="false">MIN(IF(A179&gt;0,Calculator!$B$13,0)+E179+Calculator!$B$14,'Tax Tables'!$B$36)</f>
        <v>1000</v>
      </c>
      <c r="L179" s="11" t="n">
        <f aca="false">MAX(A179-K179,0)</f>
        <v>82000</v>
      </c>
      <c r="M179" s="11" t="n">
        <f aca="false">SUMPRODUCT((L179&gt;'Tax Tables'!$A$5:$A$17)*(L179-'Tax Tables'!$A$5:$A$17)*'Tax Tables'!$C$5:$C$17)</f>
        <v>3580</v>
      </c>
      <c r="N179" s="11" t="n">
        <f aca="false">IF(H179&lt;0,-1E+099,A179-E179-M179+J179+(E179+F179)*Calculator!$B$9)</f>
        <v>359955</v>
      </c>
      <c r="O179" s="2"/>
      <c r="P179" s="11" t="n">
        <f aca="false">166*$B$3</f>
        <v>83000</v>
      </c>
      <c r="Q179" s="11" t="n">
        <f aca="false">MIN(P179,'Tax Tables'!$B$31*'Tax Tables'!$B$32)</f>
        <v>83000</v>
      </c>
      <c r="R179" s="11" t="n">
        <f aca="false">P179-Q179</f>
        <v>0</v>
      </c>
      <c r="S179" s="11" t="n">
        <f aca="false">IF(Calculator!$B$6="Yes",MIN(Q179,'Tax Tables'!$B$31*'Tax Tables'!$B$32),0)</f>
        <v>83000</v>
      </c>
      <c r="T179" s="11" t="n">
        <f aca="false">S179*Calculator!$B$7</f>
        <v>16600</v>
      </c>
      <c r="U179" s="11" t="n">
        <f aca="false">S179*Calculator!$B$8</f>
        <v>14110</v>
      </c>
      <c r="V179" s="11" t="n">
        <f aca="false">IF(Q179&gt;0,'Tax Tables'!$B$32*MIN(MAX(Q179/'Tax Tables'!$B$32*'Tax Tables'!$B$33,'Tax Tables'!$B$34),'Tax Tables'!$B$35),0)</f>
        <v>135</v>
      </c>
      <c r="W179" s="11" t="n">
        <f aca="false">Calculator!$B$5-P179-U179-V179</f>
        <v>302755</v>
      </c>
      <c r="X179" s="11" t="n">
        <f aca="false">'Tax Tables'!$B$22*(MAX(W179,0)-IF(Calculator!$B$10="Yes",MIN(MAX(W179,0),'Tax Tables'!$B$27)*'Tax Tables'!$B$28+MIN(MAX(MAX(W179,0)-'Tax Tables'!$B$27,0),'Tax Tables'!$B$29)*'Tax Tables'!$B$30,MIN(MAX(W179,0),'Tax Tables'!$B$23)*'Tax Tables'!$B$24+MIN(MAX(MAX(W179,0)-'Tax Tables'!$B$23,0),'Tax Tables'!$B$25)*'Tax Tables'!$B$26))*1-MIN('Tax Tables'!$B$22*(MAX(W179,0)-IF(Calculator!$B$10="Yes",MIN(MAX(W179,0),'Tax Tables'!$B$27)*'Tax Tables'!$B$28+MIN(MAX(MAX(W179,0)-'Tax Tables'!$B$27,0),'Tax Tables'!$B$29)*'Tax Tables'!$B$30,MIN(MAX(W179,0),'Tax Tables'!$B$23)*'Tax Tables'!$B$24+MIN(MAX(MAX(W179,0)-'Tax Tables'!$B$23,0),'Tax Tables'!$B$25)*'Tax Tables'!$B$26))*Calculator!$B$11,Calculator!$B$12)</f>
        <v>34043.35</v>
      </c>
      <c r="Y179" s="11" t="n">
        <f aca="false">MAX(W179,0)-X179</f>
        <v>268711.65</v>
      </c>
      <c r="Z179" s="11" t="n">
        <f aca="false">MIN(IF(P179&gt;0,Calculator!$B$13,0)+T179+Calculator!$B$14,'Tax Tables'!$B$36)</f>
        <v>17600</v>
      </c>
      <c r="AA179" s="11" t="n">
        <f aca="false">MAX(P179-Z179,0)</f>
        <v>65400</v>
      </c>
      <c r="AB179" s="11" t="n">
        <f aca="false">SUMPRODUCT((AA179&gt;'Tax Tables'!$A$5:$A$17)*(AA179-'Tax Tables'!$A$5:$A$17)*'Tax Tables'!$C$5:$C$17)</f>
        <v>2328</v>
      </c>
      <c r="AC179" s="11" t="n">
        <f aca="false">IF(W179&lt;0,-1E+099,P179-T179-AB179+Y179+(T179+U179)*Calculator!$B$9)</f>
        <v>363493.65</v>
      </c>
    </row>
    <row r="180" customFormat="false" ht="15" hidden="false" customHeight="false" outlineLevel="0" collapsed="false">
      <c r="A180" s="11" t="n">
        <f aca="false">167*$B$3</f>
        <v>83500</v>
      </c>
      <c r="B180" s="11" t="n">
        <f aca="false">0</f>
        <v>0</v>
      </c>
      <c r="C180" s="11" t="n">
        <f aca="false">A180-B180</f>
        <v>83500</v>
      </c>
      <c r="D180" s="11" t="n">
        <f aca="false">IF(Calculator!$B$6="Yes",MIN(B180,'Tax Tables'!$B$31*'Tax Tables'!$B$32),0)</f>
        <v>0</v>
      </c>
      <c r="E180" s="11" t="n">
        <f aca="false">D180*Calculator!$B$7</f>
        <v>0</v>
      </c>
      <c r="F180" s="11" t="n">
        <f aca="false">D180*Calculator!$B$8</f>
        <v>0</v>
      </c>
      <c r="G180" s="11" t="n">
        <f aca="false">IF(B180&gt;0,'Tax Tables'!$B$32*MIN(MAX(B180/'Tax Tables'!$B$32*'Tax Tables'!$B$33,'Tax Tables'!$B$34),'Tax Tables'!$B$35),0)</f>
        <v>0</v>
      </c>
      <c r="H180" s="11" t="n">
        <f aca="false">Calculator!$B$5-A180-F180-G180</f>
        <v>316500</v>
      </c>
      <c r="I180" s="11" t="n">
        <f aca="false">'Tax Tables'!$B$22*(MAX(H180,0)-IF(Calculator!$B$10="Yes",MIN(MAX(H180,0),'Tax Tables'!$B$27)*'Tax Tables'!$B$28+MIN(MAX(MAX(H180,0)-'Tax Tables'!$B$27,0),'Tax Tables'!$B$29)*'Tax Tables'!$B$30,MIN(MAX(H180,0),'Tax Tables'!$B$23)*'Tax Tables'!$B$24+MIN(MAX(MAX(H180,0)-'Tax Tables'!$B$23,0),'Tax Tables'!$B$25)*'Tax Tables'!$B$26))*1-MIN('Tax Tables'!$B$22*(MAX(H180,0)-IF(Calculator!$B$10="Yes",MIN(MAX(H180,0),'Tax Tables'!$B$27)*'Tax Tables'!$B$28+MIN(MAX(MAX(H180,0)-'Tax Tables'!$B$27,0),'Tax Tables'!$B$29)*'Tax Tables'!$B$30,MIN(MAX(H180,0),'Tax Tables'!$B$23)*'Tax Tables'!$B$24+MIN(MAX(MAX(H180,0)-'Tax Tables'!$B$23,0),'Tax Tables'!$B$25)*'Tax Tables'!$B$26))*Calculator!$B$11,Calculator!$B$12)</f>
        <v>36380</v>
      </c>
      <c r="J180" s="11" t="n">
        <f aca="false">MAX(H180,0)-I180</f>
        <v>280120</v>
      </c>
      <c r="K180" s="11" t="n">
        <f aca="false">MIN(IF(A180&gt;0,Calculator!$B$13,0)+E180+Calculator!$B$14,'Tax Tables'!$B$36)</f>
        <v>1000</v>
      </c>
      <c r="L180" s="11" t="n">
        <f aca="false">MAX(A180-K180,0)</f>
        <v>82500</v>
      </c>
      <c r="M180" s="11" t="n">
        <f aca="false">SUMPRODUCT((L180&gt;'Tax Tables'!$A$5:$A$17)*(L180-'Tax Tables'!$A$5:$A$17)*'Tax Tables'!$C$5:$C$17)</f>
        <v>3637.5</v>
      </c>
      <c r="N180" s="11" t="n">
        <f aca="false">IF(H180&lt;0,-1E+099,A180-E180-M180+J180+(E180+F180)*Calculator!$B$9)</f>
        <v>359982.5</v>
      </c>
      <c r="O180" s="2"/>
      <c r="P180" s="11" t="n">
        <f aca="false">167*$B$3</f>
        <v>83500</v>
      </c>
      <c r="Q180" s="11" t="n">
        <f aca="false">MIN(P180,'Tax Tables'!$B$31*'Tax Tables'!$B$32)</f>
        <v>83500</v>
      </c>
      <c r="R180" s="11" t="n">
        <f aca="false">P180-Q180</f>
        <v>0</v>
      </c>
      <c r="S180" s="11" t="n">
        <f aca="false">IF(Calculator!$B$6="Yes",MIN(Q180,'Tax Tables'!$B$31*'Tax Tables'!$B$32),0)</f>
        <v>83500</v>
      </c>
      <c r="T180" s="11" t="n">
        <f aca="false">S180*Calculator!$B$7</f>
        <v>16700</v>
      </c>
      <c r="U180" s="11" t="n">
        <f aca="false">S180*Calculator!$B$8</f>
        <v>14195</v>
      </c>
      <c r="V180" s="11" t="n">
        <f aca="false">IF(Q180&gt;0,'Tax Tables'!$B$32*MIN(MAX(Q180/'Tax Tables'!$B$32*'Tax Tables'!$B$33,'Tax Tables'!$B$34),'Tax Tables'!$B$35),0)</f>
        <v>135</v>
      </c>
      <c r="W180" s="11" t="n">
        <f aca="false">Calculator!$B$5-P180-U180-V180</f>
        <v>302170</v>
      </c>
      <c r="X180" s="11" t="n">
        <f aca="false">'Tax Tables'!$B$22*(MAX(W180,0)-IF(Calculator!$B$10="Yes",MIN(MAX(W180,0),'Tax Tables'!$B$27)*'Tax Tables'!$B$28+MIN(MAX(MAX(W180,0)-'Tax Tables'!$B$27,0),'Tax Tables'!$B$29)*'Tax Tables'!$B$30,MIN(MAX(W180,0),'Tax Tables'!$B$23)*'Tax Tables'!$B$24+MIN(MAX(MAX(W180,0)-'Tax Tables'!$B$23,0),'Tax Tables'!$B$25)*'Tax Tables'!$B$26))*1-MIN('Tax Tables'!$B$22*(MAX(W180,0)-IF(Calculator!$B$10="Yes",MIN(MAX(W180,0),'Tax Tables'!$B$27)*'Tax Tables'!$B$28+MIN(MAX(MAX(W180,0)-'Tax Tables'!$B$27,0),'Tax Tables'!$B$29)*'Tax Tables'!$B$30,MIN(MAX(W180,0),'Tax Tables'!$B$23)*'Tax Tables'!$B$24+MIN(MAX(MAX(W180,0)-'Tax Tables'!$B$23,0),'Tax Tables'!$B$25)*'Tax Tables'!$B$26))*Calculator!$B$11,Calculator!$B$12)</f>
        <v>33943.9</v>
      </c>
      <c r="Y180" s="11" t="n">
        <f aca="false">MAX(W180,0)-X180</f>
        <v>268226.1</v>
      </c>
      <c r="Z180" s="11" t="n">
        <f aca="false">MIN(IF(P180&gt;0,Calculator!$B$13,0)+T180+Calculator!$B$14,'Tax Tables'!$B$36)</f>
        <v>17700</v>
      </c>
      <c r="AA180" s="11" t="n">
        <f aca="false">MAX(P180-Z180,0)</f>
        <v>65800</v>
      </c>
      <c r="AB180" s="11" t="n">
        <f aca="false">SUMPRODUCT((AA180&gt;'Tax Tables'!$A$5:$A$17)*(AA180-'Tax Tables'!$A$5:$A$17)*'Tax Tables'!$C$5:$C$17)</f>
        <v>2356</v>
      </c>
      <c r="AC180" s="11" t="n">
        <f aca="false">IF(W180&lt;0,-1E+099,P180-T180-AB180+Y180+(T180+U180)*Calculator!$B$9)</f>
        <v>363565.1</v>
      </c>
    </row>
    <row r="181" customFormat="false" ht="15" hidden="false" customHeight="false" outlineLevel="0" collapsed="false">
      <c r="A181" s="11" t="n">
        <f aca="false">168*$B$3</f>
        <v>84000</v>
      </c>
      <c r="B181" s="11" t="n">
        <f aca="false">0</f>
        <v>0</v>
      </c>
      <c r="C181" s="11" t="n">
        <f aca="false">A181-B181</f>
        <v>84000</v>
      </c>
      <c r="D181" s="11" t="n">
        <f aca="false">IF(Calculator!$B$6="Yes",MIN(B181,'Tax Tables'!$B$31*'Tax Tables'!$B$32),0)</f>
        <v>0</v>
      </c>
      <c r="E181" s="11" t="n">
        <f aca="false">D181*Calculator!$B$7</f>
        <v>0</v>
      </c>
      <c r="F181" s="11" t="n">
        <f aca="false">D181*Calculator!$B$8</f>
        <v>0</v>
      </c>
      <c r="G181" s="11" t="n">
        <f aca="false">IF(B181&gt;0,'Tax Tables'!$B$32*MIN(MAX(B181/'Tax Tables'!$B$32*'Tax Tables'!$B$33,'Tax Tables'!$B$34),'Tax Tables'!$B$35),0)</f>
        <v>0</v>
      </c>
      <c r="H181" s="11" t="n">
        <f aca="false">Calculator!$B$5-A181-F181-G181</f>
        <v>316000</v>
      </c>
      <c r="I181" s="11" t="n">
        <f aca="false">'Tax Tables'!$B$22*(MAX(H181,0)-IF(Calculator!$B$10="Yes",MIN(MAX(H181,0),'Tax Tables'!$B$27)*'Tax Tables'!$B$28+MIN(MAX(MAX(H181,0)-'Tax Tables'!$B$27,0),'Tax Tables'!$B$29)*'Tax Tables'!$B$30,MIN(MAX(H181,0),'Tax Tables'!$B$23)*'Tax Tables'!$B$24+MIN(MAX(MAX(H181,0)-'Tax Tables'!$B$23,0),'Tax Tables'!$B$25)*'Tax Tables'!$B$26))*1-MIN('Tax Tables'!$B$22*(MAX(H181,0)-IF(Calculator!$B$10="Yes",MIN(MAX(H181,0),'Tax Tables'!$B$27)*'Tax Tables'!$B$28+MIN(MAX(MAX(H181,0)-'Tax Tables'!$B$27,0),'Tax Tables'!$B$29)*'Tax Tables'!$B$30,MIN(MAX(H181,0),'Tax Tables'!$B$23)*'Tax Tables'!$B$24+MIN(MAX(MAX(H181,0)-'Tax Tables'!$B$23,0),'Tax Tables'!$B$25)*'Tax Tables'!$B$26))*Calculator!$B$11,Calculator!$B$12)</f>
        <v>36295</v>
      </c>
      <c r="J181" s="11" t="n">
        <f aca="false">MAX(H181,0)-I181</f>
        <v>279705</v>
      </c>
      <c r="K181" s="11" t="n">
        <f aca="false">MIN(IF(A181&gt;0,Calculator!$B$13,0)+E181+Calculator!$B$14,'Tax Tables'!$B$36)</f>
        <v>1000</v>
      </c>
      <c r="L181" s="11" t="n">
        <f aca="false">MAX(A181-K181,0)</f>
        <v>83000</v>
      </c>
      <c r="M181" s="11" t="n">
        <f aca="false">SUMPRODUCT((L181&gt;'Tax Tables'!$A$5:$A$17)*(L181-'Tax Tables'!$A$5:$A$17)*'Tax Tables'!$C$5:$C$17)</f>
        <v>3695</v>
      </c>
      <c r="N181" s="11" t="n">
        <f aca="false">IF(H181&lt;0,-1E+099,A181-E181-M181+J181+(E181+F181)*Calculator!$B$9)</f>
        <v>360010</v>
      </c>
      <c r="O181" s="2"/>
      <c r="P181" s="11" t="n">
        <f aca="false">168*$B$3</f>
        <v>84000</v>
      </c>
      <c r="Q181" s="11" t="n">
        <f aca="false">MIN(P181,'Tax Tables'!$B$31*'Tax Tables'!$B$32)</f>
        <v>84000</v>
      </c>
      <c r="R181" s="11" t="n">
        <f aca="false">P181-Q181</f>
        <v>0</v>
      </c>
      <c r="S181" s="11" t="n">
        <f aca="false">IF(Calculator!$B$6="Yes",MIN(Q181,'Tax Tables'!$B$31*'Tax Tables'!$B$32),0)</f>
        <v>84000</v>
      </c>
      <c r="T181" s="11" t="n">
        <f aca="false">S181*Calculator!$B$7</f>
        <v>16800</v>
      </c>
      <c r="U181" s="11" t="n">
        <f aca="false">S181*Calculator!$B$8</f>
        <v>14280</v>
      </c>
      <c r="V181" s="11" t="n">
        <f aca="false">IF(Q181&gt;0,'Tax Tables'!$B$32*MIN(MAX(Q181/'Tax Tables'!$B$32*'Tax Tables'!$B$33,'Tax Tables'!$B$34),'Tax Tables'!$B$35),0)</f>
        <v>135</v>
      </c>
      <c r="W181" s="11" t="n">
        <f aca="false">Calculator!$B$5-P181-U181-V181</f>
        <v>301585</v>
      </c>
      <c r="X181" s="11" t="n">
        <f aca="false">'Tax Tables'!$B$22*(MAX(W181,0)-IF(Calculator!$B$10="Yes",MIN(MAX(W181,0),'Tax Tables'!$B$27)*'Tax Tables'!$B$28+MIN(MAX(MAX(W181,0)-'Tax Tables'!$B$27,0),'Tax Tables'!$B$29)*'Tax Tables'!$B$30,MIN(MAX(W181,0),'Tax Tables'!$B$23)*'Tax Tables'!$B$24+MIN(MAX(MAX(W181,0)-'Tax Tables'!$B$23,0),'Tax Tables'!$B$25)*'Tax Tables'!$B$26))*1-MIN('Tax Tables'!$B$22*(MAX(W181,0)-IF(Calculator!$B$10="Yes",MIN(MAX(W181,0),'Tax Tables'!$B$27)*'Tax Tables'!$B$28+MIN(MAX(MAX(W181,0)-'Tax Tables'!$B$27,0),'Tax Tables'!$B$29)*'Tax Tables'!$B$30,MIN(MAX(W181,0),'Tax Tables'!$B$23)*'Tax Tables'!$B$24+MIN(MAX(MAX(W181,0)-'Tax Tables'!$B$23,0),'Tax Tables'!$B$25)*'Tax Tables'!$B$26))*Calculator!$B$11,Calculator!$B$12)</f>
        <v>33844.45</v>
      </c>
      <c r="Y181" s="11" t="n">
        <f aca="false">MAX(W181,0)-X181</f>
        <v>267740.55</v>
      </c>
      <c r="Z181" s="11" t="n">
        <f aca="false">MIN(IF(P181&gt;0,Calculator!$B$13,0)+T181+Calculator!$B$14,'Tax Tables'!$B$36)</f>
        <v>17800</v>
      </c>
      <c r="AA181" s="11" t="n">
        <f aca="false">MAX(P181-Z181,0)</f>
        <v>66200</v>
      </c>
      <c r="AB181" s="11" t="n">
        <f aca="false">SUMPRODUCT((AA181&gt;'Tax Tables'!$A$5:$A$17)*(AA181-'Tax Tables'!$A$5:$A$17)*'Tax Tables'!$C$5:$C$17)</f>
        <v>2384</v>
      </c>
      <c r="AC181" s="11" t="n">
        <f aca="false">IF(W181&lt;0,-1E+099,P181-T181-AB181+Y181+(T181+U181)*Calculator!$B$9)</f>
        <v>363636.55</v>
      </c>
    </row>
    <row r="182" customFormat="false" ht="15" hidden="false" customHeight="false" outlineLevel="0" collapsed="false">
      <c r="A182" s="11" t="n">
        <f aca="false">169*$B$3</f>
        <v>84500</v>
      </c>
      <c r="B182" s="11" t="n">
        <f aca="false">0</f>
        <v>0</v>
      </c>
      <c r="C182" s="11" t="n">
        <f aca="false">A182-B182</f>
        <v>84500</v>
      </c>
      <c r="D182" s="11" t="n">
        <f aca="false">IF(Calculator!$B$6="Yes",MIN(B182,'Tax Tables'!$B$31*'Tax Tables'!$B$32),0)</f>
        <v>0</v>
      </c>
      <c r="E182" s="11" t="n">
        <f aca="false">D182*Calculator!$B$7</f>
        <v>0</v>
      </c>
      <c r="F182" s="11" t="n">
        <f aca="false">D182*Calculator!$B$8</f>
        <v>0</v>
      </c>
      <c r="G182" s="11" t="n">
        <f aca="false">IF(B182&gt;0,'Tax Tables'!$B$32*MIN(MAX(B182/'Tax Tables'!$B$32*'Tax Tables'!$B$33,'Tax Tables'!$B$34),'Tax Tables'!$B$35),0)</f>
        <v>0</v>
      </c>
      <c r="H182" s="11" t="n">
        <f aca="false">Calculator!$B$5-A182-F182-G182</f>
        <v>315500</v>
      </c>
      <c r="I182" s="11" t="n">
        <f aca="false">'Tax Tables'!$B$22*(MAX(H182,0)-IF(Calculator!$B$10="Yes",MIN(MAX(H182,0),'Tax Tables'!$B$27)*'Tax Tables'!$B$28+MIN(MAX(MAX(H182,0)-'Tax Tables'!$B$27,0),'Tax Tables'!$B$29)*'Tax Tables'!$B$30,MIN(MAX(H182,0),'Tax Tables'!$B$23)*'Tax Tables'!$B$24+MIN(MAX(MAX(H182,0)-'Tax Tables'!$B$23,0),'Tax Tables'!$B$25)*'Tax Tables'!$B$26))*1-MIN('Tax Tables'!$B$22*(MAX(H182,0)-IF(Calculator!$B$10="Yes",MIN(MAX(H182,0),'Tax Tables'!$B$27)*'Tax Tables'!$B$28+MIN(MAX(MAX(H182,0)-'Tax Tables'!$B$27,0),'Tax Tables'!$B$29)*'Tax Tables'!$B$30,MIN(MAX(H182,0),'Tax Tables'!$B$23)*'Tax Tables'!$B$24+MIN(MAX(MAX(H182,0)-'Tax Tables'!$B$23,0),'Tax Tables'!$B$25)*'Tax Tables'!$B$26))*Calculator!$B$11,Calculator!$B$12)</f>
        <v>36210</v>
      </c>
      <c r="J182" s="11" t="n">
        <f aca="false">MAX(H182,0)-I182</f>
        <v>279290</v>
      </c>
      <c r="K182" s="11" t="n">
        <f aca="false">MIN(IF(A182&gt;0,Calculator!$B$13,0)+E182+Calculator!$B$14,'Tax Tables'!$B$36)</f>
        <v>1000</v>
      </c>
      <c r="L182" s="11" t="n">
        <f aca="false">MAX(A182-K182,0)</f>
        <v>83500</v>
      </c>
      <c r="M182" s="11" t="n">
        <f aca="false">SUMPRODUCT((L182&gt;'Tax Tables'!$A$5:$A$17)*(L182-'Tax Tables'!$A$5:$A$17)*'Tax Tables'!$C$5:$C$17)</f>
        <v>3752.5</v>
      </c>
      <c r="N182" s="11" t="n">
        <f aca="false">IF(H182&lt;0,-1E+099,A182-E182-M182+J182+(E182+F182)*Calculator!$B$9)</f>
        <v>360037.5</v>
      </c>
      <c r="O182" s="2"/>
      <c r="P182" s="11" t="n">
        <f aca="false">169*$B$3</f>
        <v>84500</v>
      </c>
      <c r="Q182" s="11" t="n">
        <f aca="false">MIN(P182,'Tax Tables'!$B$31*'Tax Tables'!$B$32)</f>
        <v>84500</v>
      </c>
      <c r="R182" s="11" t="n">
        <f aca="false">P182-Q182</f>
        <v>0</v>
      </c>
      <c r="S182" s="11" t="n">
        <f aca="false">IF(Calculator!$B$6="Yes",MIN(Q182,'Tax Tables'!$B$31*'Tax Tables'!$B$32),0)</f>
        <v>84500</v>
      </c>
      <c r="T182" s="11" t="n">
        <f aca="false">S182*Calculator!$B$7</f>
        <v>16900</v>
      </c>
      <c r="U182" s="11" t="n">
        <f aca="false">S182*Calculator!$B$8</f>
        <v>14365</v>
      </c>
      <c r="V182" s="11" t="n">
        <f aca="false">IF(Q182&gt;0,'Tax Tables'!$B$32*MIN(MAX(Q182/'Tax Tables'!$B$32*'Tax Tables'!$B$33,'Tax Tables'!$B$34),'Tax Tables'!$B$35),0)</f>
        <v>135</v>
      </c>
      <c r="W182" s="11" t="n">
        <f aca="false">Calculator!$B$5-P182-U182-V182</f>
        <v>301000</v>
      </c>
      <c r="X182" s="11" t="n">
        <f aca="false">'Tax Tables'!$B$22*(MAX(W182,0)-IF(Calculator!$B$10="Yes",MIN(MAX(W182,0),'Tax Tables'!$B$27)*'Tax Tables'!$B$28+MIN(MAX(MAX(W182,0)-'Tax Tables'!$B$27,0),'Tax Tables'!$B$29)*'Tax Tables'!$B$30,MIN(MAX(W182,0),'Tax Tables'!$B$23)*'Tax Tables'!$B$24+MIN(MAX(MAX(W182,0)-'Tax Tables'!$B$23,0),'Tax Tables'!$B$25)*'Tax Tables'!$B$26))*1-MIN('Tax Tables'!$B$22*(MAX(W182,0)-IF(Calculator!$B$10="Yes",MIN(MAX(W182,0),'Tax Tables'!$B$27)*'Tax Tables'!$B$28+MIN(MAX(MAX(W182,0)-'Tax Tables'!$B$27,0),'Tax Tables'!$B$29)*'Tax Tables'!$B$30,MIN(MAX(W182,0),'Tax Tables'!$B$23)*'Tax Tables'!$B$24+MIN(MAX(MAX(W182,0)-'Tax Tables'!$B$23,0),'Tax Tables'!$B$25)*'Tax Tables'!$B$26))*Calculator!$B$11,Calculator!$B$12)</f>
        <v>33745</v>
      </c>
      <c r="Y182" s="11" t="n">
        <f aca="false">MAX(W182,0)-X182</f>
        <v>267255</v>
      </c>
      <c r="Z182" s="11" t="n">
        <f aca="false">MIN(IF(P182&gt;0,Calculator!$B$13,0)+T182+Calculator!$B$14,'Tax Tables'!$B$36)</f>
        <v>17900</v>
      </c>
      <c r="AA182" s="11" t="n">
        <f aca="false">MAX(P182-Z182,0)</f>
        <v>66600</v>
      </c>
      <c r="AB182" s="11" t="n">
        <f aca="false">SUMPRODUCT((AA182&gt;'Tax Tables'!$A$5:$A$17)*(AA182-'Tax Tables'!$A$5:$A$17)*'Tax Tables'!$C$5:$C$17)</f>
        <v>2412</v>
      </c>
      <c r="AC182" s="11" t="n">
        <f aca="false">IF(W182&lt;0,-1E+099,P182-T182-AB182+Y182+(T182+U182)*Calculator!$B$9)</f>
        <v>363708</v>
      </c>
    </row>
    <row r="183" customFormat="false" ht="15" hidden="false" customHeight="false" outlineLevel="0" collapsed="false">
      <c r="A183" s="11" t="n">
        <f aca="false">170*$B$3</f>
        <v>85000</v>
      </c>
      <c r="B183" s="11" t="n">
        <f aca="false">0</f>
        <v>0</v>
      </c>
      <c r="C183" s="11" t="n">
        <f aca="false">A183-B183</f>
        <v>85000</v>
      </c>
      <c r="D183" s="11" t="n">
        <f aca="false">IF(Calculator!$B$6="Yes",MIN(B183,'Tax Tables'!$B$31*'Tax Tables'!$B$32),0)</f>
        <v>0</v>
      </c>
      <c r="E183" s="11" t="n">
        <f aca="false">D183*Calculator!$B$7</f>
        <v>0</v>
      </c>
      <c r="F183" s="11" t="n">
        <f aca="false">D183*Calculator!$B$8</f>
        <v>0</v>
      </c>
      <c r="G183" s="11" t="n">
        <f aca="false">IF(B183&gt;0,'Tax Tables'!$B$32*MIN(MAX(B183/'Tax Tables'!$B$32*'Tax Tables'!$B$33,'Tax Tables'!$B$34),'Tax Tables'!$B$35),0)</f>
        <v>0</v>
      </c>
      <c r="H183" s="11" t="n">
        <f aca="false">Calculator!$B$5-A183-F183-G183</f>
        <v>315000</v>
      </c>
      <c r="I183" s="11" t="n">
        <f aca="false">'Tax Tables'!$B$22*(MAX(H183,0)-IF(Calculator!$B$10="Yes",MIN(MAX(H183,0),'Tax Tables'!$B$27)*'Tax Tables'!$B$28+MIN(MAX(MAX(H183,0)-'Tax Tables'!$B$27,0),'Tax Tables'!$B$29)*'Tax Tables'!$B$30,MIN(MAX(H183,0),'Tax Tables'!$B$23)*'Tax Tables'!$B$24+MIN(MAX(MAX(H183,0)-'Tax Tables'!$B$23,0),'Tax Tables'!$B$25)*'Tax Tables'!$B$26))*1-MIN('Tax Tables'!$B$22*(MAX(H183,0)-IF(Calculator!$B$10="Yes",MIN(MAX(H183,0),'Tax Tables'!$B$27)*'Tax Tables'!$B$28+MIN(MAX(MAX(H183,0)-'Tax Tables'!$B$27,0),'Tax Tables'!$B$29)*'Tax Tables'!$B$30,MIN(MAX(H183,0),'Tax Tables'!$B$23)*'Tax Tables'!$B$24+MIN(MAX(MAX(H183,0)-'Tax Tables'!$B$23,0),'Tax Tables'!$B$25)*'Tax Tables'!$B$26))*Calculator!$B$11,Calculator!$B$12)</f>
        <v>36125</v>
      </c>
      <c r="J183" s="11" t="n">
        <f aca="false">MAX(H183,0)-I183</f>
        <v>278875</v>
      </c>
      <c r="K183" s="11" t="n">
        <f aca="false">MIN(IF(A183&gt;0,Calculator!$B$13,0)+E183+Calculator!$B$14,'Tax Tables'!$B$36)</f>
        <v>1000</v>
      </c>
      <c r="L183" s="11" t="n">
        <f aca="false">MAX(A183-K183,0)</f>
        <v>84000</v>
      </c>
      <c r="M183" s="11" t="n">
        <f aca="false">SUMPRODUCT((L183&gt;'Tax Tables'!$A$5:$A$17)*(L183-'Tax Tables'!$A$5:$A$17)*'Tax Tables'!$C$5:$C$17)</f>
        <v>3810</v>
      </c>
      <c r="N183" s="11" t="n">
        <f aca="false">IF(H183&lt;0,-1E+099,A183-E183-M183+J183+(E183+F183)*Calculator!$B$9)</f>
        <v>360065</v>
      </c>
      <c r="O183" s="2"/>
      <c r="P183" s="11" t="n">
        <f aca="false">170*$B$3</f>
        <v>85000</v>
      </c>
      <c r="Q183" s="11" t="n">
        <f aca="false">MIN(P183,'Tax Tables'!$B$31*'Tax Tables'!$B$32)</f>
        <v>85000</v>
      </c>
      <c r="R183" s="11" t="n">
        <f aca="false">P183-Q183</f>
        <v>0</v>
      </c>
      <c r="S183" s="11" t="n">
        <f aca="false">IF(Calculator!$B$6="Yes",MIN(Q183,'Tax Tables'!$B$31*'Tax Tables'!$B$32),0)</f>
        <v>85000</v>
      </c>
      <c r="T183" s="11" t="n">
        <f aca="false">S183*Calculator!$B$7</f>
        <v>17000</v>
      </c>
      <c r="U183" s="11" t="n">
        <f aca="false">S183*Calculator!$B$8</f>
        <v>14450</v>
      </c>
      <c r="V183" s="11" t="n">
        <f aca="false">IF(Q183&gt;0,'Tax Tables'!$B$32*MIN(MAX(Q183/'Tax Tables'!$B$32*'Tax Tables'!$B$33,'Tax Tables'!$B$34),'Tax Tables'!$B$35),0)</f>
        <v>135</v>
      </c>
      <c r="W183" s="11" t="n">
        <f aca="false">Calculator!$B$5-P183-U183-V183</f>
        <v>300415</v>
      </c>
      <c r="X183" s="11" t="n">
        <f aca="false">'Tax Tables'!$B$22*(MAX(W183,0)-IF(Calculator!$B$10="Yes",MIN(MAX(W183,0),'Tax Tables'!$B$27)*'Tax Tables'!$B$28+MIN(MAX(MAX(W183,0)-'Tax Tables'!$B$27,0),'Tax Tables'!$B$29)*'Tax Tables'!$B$30,MIN(MAX(W183,0),'Tax Tables'!$B$23)*'Tax Tables'!$B$24+MIN(MAX(MAX(W183,0)-'Tax Tables'!$B$23,0),'Tax Tables'!$B$25)*'Tax Tables'!$B$26))*1-MIN('Tax Tables'!$B$22*(MAX(W183,0)-IF(Calculator!$B$10="Yes",MIN(MAX(W183,0),'Tax Tables'!$B$27)*'Tax Tables'!$B$28+MIN(MAX(MAX(W183,0)-'Tax Tables'!$B$27,0),'Tax Tables'!$B$29)*'Tax Tables'!$B$30,MIN(MAX(W183,0),'Tax Tables'!$B$23)*'Tax Tables'!$B$24+MIN(MAX(MAX(W183,0)-'Tax Tables'!$B$23,0),'Tax Tables'!$B$25)*'Tax Tables'!$B$26))*Calculator!$B$11,Calculator!$B$12)</f>
        <v>33645.55</v>
      </c>
      <c r="Y183" s="11" t="n">
        <f aca="false">MAX(W183,0)-X183</f>
        <v>266769.45</v>
      </c>
      <c r="Z183" s="11" t="n">
        <f aca="false">MIN(IF(P183&gt;0,Calculator!$B$13,0)+T183+Calculator!$B$14,'Tax Tables'!$B$36)</f>
        <v>18000</v>
      </c>
      <c r="AA183" s="11" t="n">
        <f aca="false">MAX(P183-Z183,0)</f>
        <v>67000</v>
      </c>
      <c r="AB183" s="11" t="n">
        <f aca="false">SUMPRODUCT((AA183&gt;'Tax Tables'!$A$5:$A$17)*(AA183-'Tax Tables'!$A$5:$A$17)*'Tax Tables'!$C$5:$C$17)</f>
        <v>2440</v>
      </c>
      <c r="AC183" s="11" t="n">
        <f aca="false">IF(W183&lt;0,-1E+099,P183-T183-AB183+Y183+(T183+U183)*Calculator!$B$9)</f>
        <v>363779.45</v>
      </c>
    </row>
    <row r="184" customFormat="false" ht="15" hidden="false" customHeight="false" outlineLevel="0" collapsed="false">
      <c r="A184" s="11" t="n">
        <f aca="false">171*$B$3</f>
        <v>85500</v>
      </c>
      <c r="B184" s="11" t="n">
        <f aca="false">0</f>
        <v>0</v>
      </c>
      <c r="C184" s="11" t="n">
        <f aca="false">A184-B184</f>
        <v>85500</v>
      </c>
      <c r="D184" s="11" t="n">
        <f aca="false">IF(Calculator!$B$6="Yes",MIN(B184,'Tax Tables'!$B$31*'Tax Tables'!$B$32),0)</f>
        <v>0</v>
      </c>
      <c r="E184" s="11" t="n">
        <f aca="false">D184*Calculator!$B$7</f>
        <v>0</v>
      </c>
      <c r="F184" s="11" t="n">
        <f aca="false">D184*Calculator!$B$8</f>
        <v>0</v>
      </c>
      <c r="G184" s="11" t="n">
        <f aca="false">IF(B184&gt;0,'Tax Tables'!$B$32*MIN(MAX(B184/'Tax Tables'!$B$32*'Tax Tables'!$B$33,'Tax Tables'!$B$34),'Tax Tables'!$B$35),0)</f>
        <v>0</v>
      </c>
      <c r="H184" s="11" t="n">
        <f aca="false">Calculator!$B$5-A184-F184-G184</f>
        <v>314500</v>
      </c>
      <c r="I184" s="11" t="n">
        <f aca="false">'Tax Tables'!$B$22*(MAX(H184,0)-IF(Calculator!$B$10="Yes",MIN(MAX(H184,0),'Tax Tables'!$B$27)*'Tax Tables'!$B$28+MIN(MAX(MAX(H184,0)-'Tax Tables'!$B$27,0),'Tax Tables'!$B$29)*'Tax Tables'!$B$30,MIN(MAX(H184,0),'Tax Tables'!$B$23)*'Tax Tables'!$B$24+MIN(MAX(MAX(H184,0)-'Tax Tables'!$B$23,0),'Tax Tables'!$B$25)*'Tax Tables'!$B$26))*1-MIN('Tax Tables'!$B$22*(MAX(H184,0)-IF(Calculator!$B$10="Yes",MIN(MAX(H184,0),'Tax Tables'!$B$27)*'Tax Tables'!$B$28+MIN(MAX(MAX(H184,0)-'Tax Tables'!$B$27,0),'Tax Tables'!$B$29)*'Tax Tables'!$B$30,MIN(MAX(H184,0),'Tax Tables'!$B$23)*'Tax Tables'!$B$24+MIN(MAX(MAX(H184,0)-'Tax Tables'!$B$23,0),'Tax Tables'!$B$25)*'Tax Tables'!$B$26))*Calculator!$B$11,Calculator!$B$12)</f>
        <v>36040</v>
      </c>
      <c r="J184" s="11" t="n">
        <f aca="false">MAX(H184,0)-I184</f>
        <v>278460</v>
      </c>
      <c r="K184" s="11" t="n">
        <f aca="false">MIN(IF(A184&gt;0,Calculator!$B$13,0)+E184+Calculator!$B$14,'Tax Tables'!$B$36)</f>
        <v>1000</v>
      </c>
      <c r="L184" s="11" t="n">
        <f aca="false">MAX(A184-K184,0)</f>
        <v>84500</v>
      </c>
      <c r="M184" s="11" t="n">
        <f aca="false">SUMPRODUCT((L184&gt;'Tax Tables'!$A$5:$A$17)*(L184-'Tax Tables'!$A$5:$A$17)*'Tax Tables'!$C$5:$C$17)</f>
        <v>3867.5</v>
      </c>
      <c r="N184" s="11" t="n">
        <f aca="false">IF(H184&lt;0,-1E+099,A184-E184-M184+J184+(E184+F184)*Calculator!$B$9)</f>
        <v>360092.5</v>
      </c>
      <c r="O184" s="2"/>
      <c r="P184" s="11" t="n">
        <f aca="false">171*$B$3</f>
        <v>85500</v>
      </c>
      <c r="Q184" s="11" t="n">
        <f aca="false">MIN(P184,'Tax Tables'!$B$31*'Tax Tables'!$B$32)</f>
        <v>85500</v>
      </c>
      <c r="R184" s="11" t="n">
        <f aca="false">P184-Q184</f>
        <v>0</v>
      </c>
      <c r="S184" s="11" t="n">
        <f aca="false">IF(Calculator!$B$6="Yes",MIN(Q184,'Tax Tables'!$B$31*'Tax Tables'!$B$32),0)</f>
        <v>85500</v>
      </c>
      <c r="T184" s="11" t="n">
        <f aca="false">S184*Calculator!$B$7</f>
        <v>17100</v>
      </c>
      <c r="U184" s="11" t="n">
        <f aca="false">S184*Calculator!$B$8</f>
        <v>14535</v>
      </c>
      <c r="V184" s="11" t="n">
        <f aca="false">IF(Q184&gt;0,'Tax Tables'!$B$32*MIN(MAX(Q184/'Tax Tables'!$B$32*'Tax Tables'!$B$33,'Tax Tables'!$B$34),'Tax Tables'!$B$35),0)</f>
        <v>135</v>
      </c>
      <c r="W184" s="11" t="n">
        <f aca="false">Calculator!$B$5-P184-U184-V184</f>
        <v>299830</v>
      </c>
      <c r="X184" s="11" t="n">
        <f aca="false">'Tax Tables'!$B$22*(MAX(W184,0)-IF(Calculator!$B$10="Yes",MIN(MAX(W184,0),'Tax Tables'!$B$27)*'Tax Tables'!$B$28+MIN(MAX(MAX(W184,0)-'Tax Tables'!$B$27,0),'Tax Tables'!$B$29)*'Tax Tables'!$B$30,MIN(MAX(W184,0),'Tax Tables'!$B$23)*'Tax Tables'!$B$24+MIN(MAX(MAX(W184,0)-'Tax Tables'!$B$23,0),'Tax Tables'!$B$25)*'Tax Tables'!$B$26))*1-MIN('Tax Tables'!$B$22*(MAX(W184,0)-IF(Calculator!$B$10="Yes",MIN(MAX(W184,0),'Tax Tables'!$B$27)*'Tax Tables'!$B$28+MIN(MAX(MAX(W184,0)-'Tax Tables'!$B$27,0),'Tax Tables'!$B$29)*'Tax Tables'!$B$30,MIN(MAX(W184,0),'Tax Tables'!$B$23)*'Tax Tables'!$B$24+MIN(MAX(MAX(W184,0)-'Tax Tables'!$B$23,0),'Tax Tables'!$B$25)*'Tax Tables'!$B$26))*Calculator!$B$11,Calculator!$B$12)</f>
        <v>33546.1</v>
      </c>
      <c r="Y184" s="11" t="n">
        <f aca="false">MAX(W184,0)-X184</f>
        <v>266283.9</v>
      </c>
      <c r="Z184" s="11" t="n">
        <f aca="false">MIN(IF(P184&gt;0,Calculator!$B$13,0)+T184+Calculator!$B$14,'Tax Tables'!$B$36)</f>
        <v>18100</v>
      </c>
      <c r="AA184" s="11" t="n">
        <f aca="false">MAX(P184-Z184,0)</f>
        <v>67400</v>
      </c>
      <c r="AB184" s="11" t="n">
        <f aca="false">SUMPRODUCT((AA184&gt;'Tax Tables'!$A$5:$A$17)*(AA184-'Tax Tables'!$A$5:$A$17)*'Tax Tables'!$C$5:$C$17)</f>
        <v>2468</v>
      </c>
      <c r="AC184" s="11" t="n">
        <f aca="false">IF(W184&lt;0,-1E+099,P184-T184-AB184+Y184+(T184+U184)*Calculator!$B$9)</f>
        <v>363850.9</v>
      </c>
    </row>
    <row r="185" customFormat="false" ht="15" hidden="false" customHeight="false" outlineLevel="0" collapsed="false">
      <c r="A185" s="11" t="n">
        <f aca="false">172*$B$3</f>
        <v>86000</v>
      </c>
      <c r="B185" s="11" t="n">
        <f aca="false">0</f>
        <v>0</v>
      </c>
      <c r="C185" s="11" t="n">
        <f aca="false">A185-B185</f>
        <v>86000</v>
      </c>
      <c r="D185" s="11" t="n">
        <f aca="false">IF(Calculator!$B$6="Yes",MIN(B185,'Tax Tables'!$B$31*'Tax Tables'!$B$32),0)</f>
        <v>0</v>
      </c>
      <c r="E185" s="11" t="n">
        <f aca="false">D185*Calculator!$B$7</f>
        <v>0</v>
      </c>
      <c r="F185" s="11" t="n">
        <f aca="false">D185*Calculator!$B$8</f>
        <v>0</v>
      </c>
      <c r="G185" s="11" t="n">
        <f aca="false">IF(B185&gt;0,'Tax Tables'!$B$32*MIN(MAX(B185/'Tax Tables'!$B$32*'Tax Tables'!$B$33,'Tax Tables'!$B$34),'Tax Tables'!$B$35),0)</f>
        <v>0</v>
      </c>
      <c r="H185" s="11" t="n">
        <f aca="false">Calculator!$B$5-A185-F185-G185</f>
        <v>314000</v>
      </c>
      <c r="I185" s="11" t="n">
        <f aca="false">'Tax Tables'!$B$22*(MAX(H185,0)-IF(Calculator!$B$10="Yes",MIN(MAX(H185,0),'Tax Tables'!$B$27)*'Tax Tables'!$B$28+MIN(MAX(MAX(H185,0)-'Tax Tables'!$B$27,0),'Tax Tables'!$B$29)*'Tax Tables'!$B$30,MIN(MAX(H185,0),'Tax Tables'!$B$23)*'Tax Tables'!$B$24+MIN(MAX(MAX(H185,0)-'Tax Tables'!$B$23,0),'Tax Tables'!$B$25)*'Tax Tables'!$B$26))*1-MIN('Tax Tables'!$B$22*(MAX(H185,0)-IF(Calculator!$B$10="Yes",MIN(MAX(H185,0),'Tax Tables'!$B$27)*'Tax Tables'!$B$28+MIN(MAX(MAX(H185,0)-'Tax Tables'!$B$27,0),'Tax Tables'!$B$29)*'Tax Tables'!$B$30,MIN(MAX(H185,0),'Tax Tables'!$B$23)*'Tax Tables'!$B$24+MIN(MAX(MAX(H185,0)-'Tax Tables'!$B$23,0),'Tax Tables'!$B$25)*'Tax Tables'!$B$26))*Calculator!$B$11,Calculator!$B$12)</f>
        <v>35955</v>
      </c>
      <c r="J185" s="11" t="n">
        <f aca="false">MAX(H185,0)-I185</f>
        <v>278045</v>
      </c>
      <c r="K185" s="11" t="n">
        <f aca="false">MIN(IF(A185&gt;0,Calculator!$B$13,0)+E185+Calculator!$B$14,'Tax Tables'!$B$36)</f>
        <v>1000</v>
      </c>
      <c r="L185" s="11" t="n">
        <f aca="false">MAX(A185-K185,0)</f>
        <v>85000</v>
      </c>
      <c r="M185" s="11" t="n">
        <f aca="false">SUMPRODUCT((L185&gt;'Tax Tables'!$A$5:$A$17)*(L185-'Tax Tables'!$A$5:$A$17)*'Tax Tables'!$C$5:$C$17)</f>
        <v>3925</v>
      </c>
      <c r="N185" s="11" t="n">
        <f aca="false">IF(H185&lt;0,-1E+099,A185-E185-M185+J185+(E185+F185)*Calculator!$B$9)</f>
        <v>360120</v>
      </c>
      <c r="O185" s="2"/>
      <c r="P185" s="11" t="n">
        <f aca="false">172*$B$3</f>
        <v>86000</v>
      </c>
      <c r="Q185" s="11" t="n">
        <f aca="false">MIN(P185,'Tax Tables'!$B$31*'Tax Tables'!$B$32)</f>
        <v>86000</v>
      </c>
      <c r="R185" s="11" t="n">
        <f aca="false">P185-Q185</f>
        <v>0</v>
      </c>
      <c r="S185" s="11" t="n">
        <f aca="false">IF(Calculator!$B$6="Yes",MIN(Q185,'Tax Tables'!$B$31*'Tax Tables'!$B$32),0)</f>
        <v>86000</v>
      </c>
      <c r="T185" s="11" t="n">
        <f aca="false">S185*Calculator!$B$7</f>
        <v>17200</v>
      </c>
      <c r="U185" s="11" t="n">
        <f aca="false">S185*Calculator!$B$8</f>
        <v>14620</v>
      </c>
      <c r="V185" s="11" t="n">
        <f aca="false">IF(Q185&gt;0,'Tax Tables'!$B$32*MIN(MAX(Q185/'Tax Tables'!$B$32*'Tax Tables'!$B$33,'Tax Tables'!$B$34),'Tax Tables'!$B$35),0)</f>
        <v>135</v>
      </c>
      <c r="W185" s="11" t="n">
        <f aca="false">Calculator!$B$5-P185-U185-V185</f>
        <v>299245</v>
      </c>
      <c r="X185" s="11" t="n">
        <f aca="false">'Tax Tables'!$B$22*(MAX(W185,0)-IF(Calculator!$B$10="Yes",MIN(MAX(W185,0),'Tax Tables'!$B$27)*'Tax Tables'!$B$28+MIN(MAX(MAX(W185,0)-'Tax Tables'!$B$27,0),'Tax Tables'!$B$29)*'Tax Tables'!$B$30,MIN(MAX(W185,0),'Tax Tables'!$B$23)*'Tax Tables'!$B$24+MIN(MAX(MAX(W185,0)-'Tax Tables'!$B$23,0),'Tax Tables'!$B$25)*'Tax Tables'!$B$26))*1-MIN('Tax Tables'!$B$22*(MAX(W185,0)-IF(Calculator!$B$10="Yes",MIN(MAX(W185,0),'Tax Tables'!$B$27)*'Tax Tables'!$B$28+MIN(MAX(MAX(W185,0)-'Tax Tables'!$B$27,0),'Tax Tables'!$B$29)*'Tax Tables'!$B$30,MIN(MAX(W185,0),'Tax Tables'!$B$23)*'Tax Tables'!$B$24+MIN(MAX(MAX(W185,0)-'Tax Tables'!$B$23,0),'Tax Tables'!$B$25)*'Tax Tables'!$B$26))*Calculator!$B$11,Calculator!$B$12)</f>
        <v>33446.65</v>
      </c>
      <c r="Y185" s="11" t="n">
        <f aca="false">MAX(W185,0)-X185</f>
        <v>265798.35</v>
      </c>
      <c r="Z185" s="11" t="n">
        <f aca="false">MIN(IF(P185&gt;0,Calculator!$B$13,0)+T185+Calculator!$B$14,'Tax Tables'!$B$36)</f>
        <v>18200</v>
      </c>
      <c r="AA185" s="11" t="n">
        <f aca="false">MAX(P185-Z185,0)</f>
        <v>67800</v>
      </c>
      <c r="AB185" s="11" t="n">
        <f aca="false">SUMPRODUCT((AA185&gt;'Tax Tables'!$A$5:$A$17)*(AA185-'Tax Tables'!$A$5:$A$17)*'Tax Tables'!$C$5:$C$17)</f>
        <v>2496</v>
      </c>
      <c r="AC185" s="11" t="n">
        <f aca="false">IF(W185&lt;0,-1E+099,P185-T185-AB185+Y185+(T185+U185)*Calculator!$B$9)</f>
        <v>363922.35</v>
      </c>
    </row>
    <row r="186" customFormat="false" ht="15" hidden="false" customHeight="false" outlineLevel="0" collapsed="false">
      <c r="A186" s="11" t="n">
        <f aca="false">173*$B$3</f>
        <v>86500</v>
      </c>
      <c r="B186" s="11" t="n">
        <f aca="false">0</f>
        <v>0</v>
      </c>
      <c r="C186" s="11" t="n">
        <f aca="false">A186-B186</f>
        <v>86500</v>
      </c>
      <c r="D186" s="11" t="n">
        <f aca="false">IF(Calculator!$B$6="Yes",MIN(B186,'Tax Tables'!$B$31*'Tax Tables'!$B$32),0)</f>
        <v>0</v>
      </c>
      <c r="E186" s="11" t="n">
        <f aca="false">D186*Calculator!$B$7</f>
        <v>0</v>
      </c>
      <c r="F186" s="11" t="n">
        <f aca="false">D186*Calculator!$B$8</f>
        <v>0</v>
      </c>
      <c r="G186" s="11" t="n">
        <f aca="false">IF(B186&gt;0,'Tax Tables'!$B$32*MIN(MAX(B186/'Tax Tables'!$B$32*'Tax Tables'!$B$33,'Tax Tables'!$B$34),'Tax Tables'!$B$35),0)</f>
        <v>0</v>
      </c>
      <c r="H186" s="11" t="n">
        <f aca="false">Calculator!$B$5-A186-F186-G186</f>
        <v>313500</v>
      </c>
      <c r="I186" s="11" t="n">
        <f aca="false">'Tax Tables'!$B$22*(MAX(H186,0)-IF(Calculator!$B$10="Yes",MIN(MAX(H186,0),'Tax Tables'!$B$27)*'Tax Tables'!$B$28+MIN(MAX(MAX(H186,0)-'Tax Tables'!$B$27,0),'Tax Tables'!$B$29)*'Tax Tables'!$B$30,MIN(MAX(H186,0),'Tax Tables'!$B$23)*'Tax Tables'!$B$24+MIN(MAX(MAX(H186,0)-'Tax Tables'!$B$23,0),'Tax Tables'!$B$25)*'Tax Tables'!$B$26))*1-MIN('Tax Tables'!$B$22*(MAX(H186,0)-IF(Calculator!$B$10="Yes",MIN(MAX(H186,0),'Tax Tables'!$B$27)*'Tax Tables'!$B$28+MIN(MAX(MAX(H186,0)-'Tax Tables'!$B$27,0),'Tax Tables'!$B$29)*'Tax Tables'!$B$30,MIN(MAX(H186,0),'Tax Tables'!$B$23)*'Tax Tables'!$B$24+MIN(MAX(MAX(H186,0)-'Tax Tables'!$B$23,0),'Tax Tables'!$B$25)*'Tax Tables'!$B$26))*Calculator!$B$11,Calculator!$B$12)</f>
        <v>35870</v>
      </c>
      <c r="J186" s="11" t="n">
        <f aca="false">MAX(H186,0)-I186</f>
        <v>277630</v>
      </c>
      <c r="K186" s="11" t="n">
        <f aca="false">MIN(IF(A186&gt;0,Calculator!$B$13,0)+E186+Calculator!$B$14,'Tax Tables'!$B$36)</f>
        <v>1000</v>
      </c>
      <c r="L186" s="11" t="n">
        <f aca="false">MAX(A186-K186,0)</f>
        <v>85500</v>
      </c>
      <c r="M186" s="11" t="n">
        <f aca="false">SUMPRODUCT((L186&gt;'Tax Tables'!$A$5:$A$17)*(L186-'Tax Tables'!$A$5:$A$17)*'Tax Tables'!$C$5:$C$17)</f>
        <v>3982.5</v>
      </c>
      <c r="N186" s="11" t="n">
        <f aca="false">IF(H186&lt;0,-1E+099,A186-E186-M186+J186+(E186+F186)*Calculator!$B$9)</f>
        <v>360147.5</v>
      </c>
      <c r="O186" s="2"/>
      <c r="P186" s="11" t="n">
        <f aca="false">173*$B$3</f>
        <v>86500</v>
      </c>
      <c r="Q186" s="11" t="n">
        <f aca="false">MIN(P186,'Tax Tables'!$B$31*'Tax Tables'!$B$32)</f>
        <v>86500</v>
      </c>
      <c r="R186" s="11" t="n">
        <f aca="false">P186-Q186</f>
        <v>0</v>
      </c>
      <c r="S186" s="11" t="n">
        <f aca="false">IF(Calculator!$B$6="Yes",MIN(Q186,'Tax Tables'!$B$31*'Tax Tables'!$B$32),0)</f>
        <v>86500</v>
      </c>
      <c r="T186" s="11" t="n">
        <f aca="false">S186*Calculator!$B$7</f>
        <v>17300</v>
      </c>
      <c r="U186" s="11" t="n">
        <f aca="false">S186*Calculator!$B$8</f>
        <v>14705</v>
      </c>
      <c r="V186" s="11" t="n">
        <f aca="false">IF(Q186&gt;0,'Tax Tables'!$B$32*MIN(MAX(Q186/'Tax Tables'!$B$32*'Tax Tables'!$B$33,'Tax Tables'!$B$34),'Tax Tables'!$B$35),0)</f>
        <v>135</v>
      </c>
      <c r="W186" s="11" t="n">
        <f aca="false">Calculator!$B$5-P186-U186-V186</f>
        <v>298660</v>
      </c>
      <c r="X186" s="11" t="n">
        <f aca="false">'Tax Tables'!$B$22*(MAX(W186,0)-IF(Calculator!$B$10="Yes",MIN(MAX(W186,0),'Tax Tables'!$B$27)*'Tax Tables'!$B$28+MIN(MAX(MAX(W186,0)-'Tax Tables'!$B$27,0),'Tax Tables'!$B$29)*'Tax Tables'!$B$30,MIN(MAX(W186,0),'Tax Tables'!$B$23)*'Tax Tables'!$B$24+MIN(MAX(MAX(W186,0)-'Tax Tables'!$B$23,0),'Tax Tables'!$B$25)*'Tax Tables'!$B$26))*1-MIN('Tax Tables'!$B$22*(MAX(W186,0)-IF(Calculator!$B$10="Yes",MIN(MAX(W186,0),'Tax Tables'!$B$27)*'Tax Tables'!$B$28+MIN(MAX(MAX(W186,0)-'Tax Tables'!$B$27,0),'Tax Tables'!$B$29)*'Tax Tables'!$B$30,MIN(MAX(W186,0),'Tax Tables'!$B$23)*'Tax Tables'!$B$24+MIN(MAX(MAX(W186,0)-'Tax Tables'!$B$23,0),'Tax Tables'!$B$25)*'Tax Tables'!$B$26))*Calculator!$B$11,Calculator!$B$12)</f>
        <v>33347.2</v>
      </c>
      <c r="Y186" s="11" t="n">
        <f aca="false">MAX(W186,0)-X186</f>
        <v>265312.8</v>
      </c>
      <c r="Z186" s="11" t="n">
        <f aca="false">MIN(IF(P186&gt;0,Calculator!$B$13,0)+T186+Calculator!$B$14,'Tax Tables'!$B$36)</f>
        <v>18300</v>
      </c>
      <c r="AA186" s="11" t="n">
        <f aca="false">MAX(P186-Z186,0)</f>
        <v>68200</v>
      </c>
      <c r="AB186" s="11" t="n">
        <f aca="false">SUMPRODUCT((AA186&gt;'Tax Tables'!$A$5:$A$17)*(AA186-'Tax Tables'!$A$5:$A$17)*'Tax Tables'!$C$5:$C$17)</f>
        <v>2524</v>
      </c>
      <c r="AC186" s="11" t="n">
        <f aca="false">IF(W186&lt;0,-1E+099,P186-T186-AB186+Y186+(T186+U186)*Calculator!$B$9)</f>
        <v>363993.8</v>
      </c>
    </row>
    <row r="187" customFormat="false" ht="15" hidden="false" customHeight="false" outlineLevel="0" collapsed="false">
      <c r="A187" s="11" t="n">
        <f aca="false">174*$B$3</f>
        <v>87000</v>
      </c>
      <c r="B187" s="11" t="n">
        <f aca="false">0</f>
        <v>0</v>
      </c>
      <c r="C187" s="11" t="n">
        <f aca="false">A187-B187</f>
        <v>87000</v>
      </c>
      <c r="D187" s="11" t="n">
        <f aca="false">IF(Calculator!$B$6="Yes",MIN(B187,'Tax Tables'!$B$31*'Tax Tables'!$B$32),0)</f>
        <v>0</v>
      </c>
      <c r="E187" s="11" t="n">
        <f aca="false">D187*Calculator!$B$7</f>
        <v>0</v>
      </c>
      <c r="F187" s="11" t="n">
        <f aca="false">D187*Calculator!$B$8</f>
        <v>0</v>
      </c>
      <c r="G187" s="11" t="n">
        <f aca="false">IF(B187&gt;0,'Tax Tables'!$B$32*MIN(MAX(B187/'Tax Tables'!$B$32*'Tax Tables'!$B$33,'Tax Tables'!$B$34),'Tax Tables'!$B$35),0)</f>
        <v>0</v>
      </c>
      <c r="H187" s="11" t="n">
        <f aca="false">Calculator!$B$5-A187-F187-G187</f>
        <v>313000</v>
      </c>
      <c r="I187" s="11" t="n">
        <f aca="false">'Tax Tables'!$B$22*(MAX(H187,0)-IF(Calculator!$B$10="Yes",MIN(MAX(H187,0),'Tax Tables'!$B$27)*'Tax Tables'!$B$28+MIN(MAX(MAX(H187,0)-'Tax Tables'!$B$27,0),'Tax Tables'!$B$29)*'Tax Tables'!$B$30,MIN(MAX(H187,0),'Tax Tables'!$B$23)*'Tax Tables'!$B$24+MIN(MAX(MAX(H187,0)-'Tax Tables'!$B$23,0),'Tax Tables'!$B$25)*'Tax Tables'!$B$26))*1-MIN('Tax Tables'!$B$22*(MAX(H187,0)-IF(Calculator!$B$10="Yes",MIN(MAX(H187,0),'Tax Tables'!$B$27)*'Tax Tables'!$B$28+MIN(MAX(MAX(H187,0)-'Tax Tables'!$B$27,0),'Tax Tables'!$B$29)*'Tax Tables'!$B$30,MIN(MAX(H187,0),'Tax Tables'!$B$23)*'Tax Tables'!$B$24+MIN(MAX(MAX(H187,0)-'Tax Tables'!$B$23,0),'Tax Tables'!$B$25)*'Tax Tables'!$B$26))*Calculator!$B$11,Calculator!$B$12)</f>
        <v>35785</v>
      </c>
      <c r="J187" s="11" t="n">
        <f aca="false">MAX(H187,0)-I187</f>
        <v>277215</v>
      </c>
      <c r="K187" s="11" t="n">
        <f aca="false">MIN(IF(A187&gt;0,Calculator!$B$13,0)+E187+Calculator!$B$14,'Tax Tables'!$B$36)</f>
        <v>1000</v>
      </c>
      <c r="L187" s="11" t="n">
        <f aca="false">MAX(A187-K187,0)</f>
        <v>86000</v>
      </c>
      <c r="M187" s="11" t="n">
        <f aca="false">SUMPRODUCT((L187&gt;'Tax Tables'!$A$5:$A$17)*(L187-'Tax Tables'!$A$5:$A$17)*'Tax Tables'!$C$5:$C$17)</f>
        <v>4040</v>
      </c>
      <c r="N187" s="11" t="n">
        <f aca="false">IF(H187&lt;0,-1E+099,A187-E187-M187+J187+(E187+F187)*Calculator!$B$9)</f>
        <v>360175</v>
      </c>
      <c r="O187" s="2"/>
      <c r="P187" s="11" t="n">
        <f aca="false">174*$B$3</f>
        <v>87000</v>
      </c>
      <c r="Q187" s="11" t="n">
        <f aca="false">MIN(P187,'Tax Tables'!$B$31*'Tax Tables'!$B$32)</f>
        <v>87000</v>
      </c>
      <c r="R187" s="11" t="n">
        <f aca="false">P187-Q187</f>
        <v>0</v>
      </c>
      <c r="S187" s="11" t="n">
        <f aca="false">IF(Calculator!$B$6="Yes",MIN(Q187,'Tax Tables'!$B$31*'Tax Tables'!$B$32),0)</f>
        <v>87000</v>
      </c>
      <c r="T187" s="11" t="n">
        <f aca="false">S187*Calculator!$B$7</f>
        <v>17400</v>
      </c>
      <c r="U187" s="11" t="n">
        <f aca="false">S187*Calculator!$B$8</f>
        <v>14790</v>
      </c>
      <c r="V187" s="11" t="n">
        <f aca="false">IF(Q187&gt;0,'Tax Tables'!$B$32*MIN(MAX(Q187/'Tax Tables'!$B$32*'Tax Tables'!$B$33,'Tax Tables'!$B$34),'Tax Tables'!$B$35),0)</f>
        <v>135</v>
      </c>
      <c r="W187" s="11" t="n">
        <f aca="false">Calculator!$B$5-P187-U187-V187</f>
        <v>298075</v>
      </c>
      <c r="X187" s="11" t="n">
        <f aca="false">'Tax Tables'!$B$22*(MAX(W187,0)-IF(Calculator!$B$10="Yes",MIN(MAX(W187,0),'Tax Tables'!$B$27)*'Tax Tables'!$B$28+MIN(MAX(MAX(W187,0)-'Tax Tables'!$B$27,0),'Tax Tables'!$B$29)*'Tax Tables'!$B$30,MIN(MAX(W187,0),'Tax Tables'!$B$23)*'Tax Tables'!$B$24+MIN(MAX(MAX(W187,0)-'Tax Tables'!$B$23,0),'Tax Tables'!$B$25)*'Tax Tables'!$B$26))*1-MIN('Tax Tables'!$B$22*(MAX(W187,0)-IF(Calculator!$B$10="Yes",MIN(MAX(W187,0),'Tax Tables'!$B$27)*'Tax Tables'!$B$28+MIN(MAX(MAX(W187,0)-'Tax Tables'!$B$27,0),'Tax Tables'!$B$29)*'Tax Tables'!$B$30,MIN(MAX(W187,0),'Tax Tables'!$B$23)*'Tax Tables'!$B$24+MIN(MAX(MAX(W187,0)-'Tax Tables'!$B$23,0),'Tax Tables'!$B$25)*'Tax Tables'!$B$26))*Calculator!$B$11,Calculator!$B$12)</f>
        <v>33247.75</v>
      </c>
      <c r="Y187" s="11" t="n">
        <f aca="false">MAX(W187,0)-X187</f>
        <v>264827.25</v>
      </c>
      <c r="Z187" s="11" t="n">
        <f aca="false">MIN(IF(P187&gt;0,Calculator!$B$13,0)+T187+Calculator!$B$14,'Tax Tables'!$B$36)</f>
        <v>18400</v>
      </c>
      <c r="AA187" s="11" t="n">
        <f aca="false">MAX(P187-Z187,0)</f>
        <v>68600</v>
      </c>
      <c r="AB187" s="11" t="n">
        <f aca="false">SUMPRODUCT((AA187&gt;'Tax Tables'!$A$5:$A$17)*(AA187-'Tax Tables'!$A$5:$A$17)*'Tax Tables'!$C$5:$C$17)</f>
        <v>2552</v>
      </c>
      <c r="AC187" s="11" t="n">
        <f aca="false">IF(W187&lt;0,-1E+099,P187-T187-AB187+Y187+(T187+U187)*Calculator!$B$9)</f>
        <v>364065.25</v>
      </c>
    </row>
    <row r="188" customFormat="false" ht="15" hidden="false" customHeight="false" outlineLevel="0" collapsed="false">
      <c r="A188" s="11" t="n">
        <f aca="false">175*$B$3</f>
        <v>87500</v>
      </c>
      <c r="B188" s="11" t="n">
        <f aca="false">0</f>
        <v>0</v>
      </c>
      <c r="C188" s="11" t="n">
        <f aca="false">A188-B188</f>
        <v>87500</v>
      </c>
      <c r="D188" s="11" t="n">
        <f aca="false">IF(Calculator!$B$6="Yes",MIN(B188,'Tax Tables'!$B$31*'Tax Tables'!$B$32),0)</f>
        <v>0</v>
      </c>
      <c r="E188" s="11" t="n">
        <f aca="false">D188*Calculator!$B$7</f>
        <v>0</v>
      </c>
      <c r="F188" s="11" t="n">
        <f aca="false">D188*Calculator!$B$8</f>
        <v>0</v>
      </c>
      <c r="G188" s="11" t="n">
        <f aca="false">IF(B188&gt;0,'Tax Tables'!$B$32*MIN(MAX(B188/'Tax Tables'!$B$32*'Tax Tables'!$B$33,'Tax Tables'!$B$34),'Tax Tables'!$B$35),0)</f>
        <v>0</v>
      </c>
      <c r="H188" s="11" t="n">
        <f aca="false">Calculator!$B$5-A188-F188-G188</f>
        <v>312500</v>
      </c>
      <c r="I188" s="11" t="n">
        <f aca="false">'Tax Tables'!$B$22*(MAX(H188,0)-IF(Calculator!$B$10="Yes",MIN(MAX(H188,0),'Tax Tables'!$B$27)*'Tax Tables'!$B$28+MIN(MAX(MAX(H188,0)-'Tax Tables'!$B$27,0),'Tax Tables'!$B$29)*'Tax Tables'!$B$30,MIN(MAX(H188,0),'Tax Tables'!$B$23)*'Tax Tables'!$B$24+MIN(MAX(MAX(H188,0)-'Tax Tables'!$B$23,0),'Tax Tables'!$B$25)*'Tax Tables'!$B$26))*1-MIN('Tax Tables'!$B$22*(MAX(H188,0)-IF(Calculator!$B$10="Yes",MIN(MAX(H188,0),'Tax Tables'!$B$27)*'Tax Tables'!$B$28+MIN(MAX(MAX(H188,0)-'Tax Tables'!$B$27,0),'Tax Tables'!$B$29)*'Tax Tables'!$B$30,MIN(MAX(H188,0),'Tax Tables'!$B$23)*'Tax Tables'!$B$24+MIN(MAX(MAX(H188,0)-'Tax Tables'!$B$23,0),'Tax Tables'!$B$25)*'Tax Tables'!$B$26))*Calculator!$B$11,Calculator!$B$12)</f>
        <v>35700</v>
      </c>
      <c r="J188" s="11" t="n">
        <f aca="false">MAX(H188,0)-I188</f>
        <v>276800</v>
      </c>
      <c r="K188" s="11" t="n">
        <f aca="false">MIN(IF(A188&gt;0,Calculator!$B$13,0)+E188+Calculator!$B$14,'Tax Tables'!$B$36)</f>
        <v>1000</v>
      </c>
      <c r="L188" s="11" t="n">
        <f aca="false">MAX(A188-K188,0)</f>
        <v>86500</v>
      </c>
      <c r="M188" s="11" t="n">
        <f aca="false">SUMPRODUCT((L188&gt;'Tax Tables'!$A$5:$A$17)*(L188-'Tax Tables'!$A$5:$A$17)*'Tax Tables'!$C$5:$C$17)</f>
        <v>4097.5</v>
      </c>
      <c r="N188" s="11" t="n">
        <f aca="false">IF(H188&lt;0,-1E+099,A188-E188-M188+J188+(E188+F188)*Calculator!$B$9)</f>
        <v>360202.5</v>
      </c>
      <c r="O188" s="2"/>
      <c r="P188" s="11" t="n">
        <f aca="false">175*$B$3</f>
        <v>87500</v>
      </c>
      <c r="Q188" s="11" t="n">
        <f aca="false">MIN(P188,'Tax Tables'!$B$31*'Tax Tables'!$B$32)</f>
        <v>87500</v>
      </c>
      <c r="R188" s="11" t="n">
        <f aca="false">P188-Q188</f>
        <v>0</v>
      </c>
      <c r="S188" s="11" t="n">
        <f aca="false">IF(Calculator!$B$6="Yes",MIN(Q188,'Tax Tables'!$B$31*'Tax Tables'!$B$32),0)</f>
        <v>87500</v>
      </c>
      <c r="T188" s="11" t="n">
        <f aca="false">S188*Calculator!$B$7</f>
        <v>17500</v>
      </c>
      <c r="U188" s="11" t="n">
        <f aca="false">S188*Calculator!$B$8</f>
        <v>14875</v>
      </c>
      <c r="V188" s="11" t="n">
        <f aca="false">IF(Q188&gt;0,'Tax Tables'!$B$32*MIN(MAX(Q188/'Tax Tables'!$B$32*'Tax Tables'!$B$33,'Tax Tables'!$B$34),'Tax Tables'!$B$35),0)</f>
        <v>135</v>
      </c>
      <c r="W188" s="11" t="n">
        <f aca="false">Calculator!$B$5-P188-U188-V188</f>
        <v>297490</v>
      </c>
      <c r="X188" s="11" t="n">
        <f aca="false">'Tax Tables'!$B$22*(MAX(W188,0)-IF(Calculator!$B$10="Yes",MIN(MAX(W188,0),'Tax Tables'!$B$27)*'Tax Tables'!$B$28+MIN(MAX(MAX(W188,0)-'Tax Tables'!$B$27,0),'Tax Tables'!$B$29)*'Tax Tables'!$B$30,MIN(MAX(W188,0),'Tax Tables'!$B$23)*'Tax Tables'!$B$24+MIN(MAX(MAX(W188,0)-'Tax Tables'!$B$23,0),'Tax Tables'!$B$25)*'Tax Tables'!$B$26))*1-MIN('Tax Tables'!$B$22*(MAX(W188,0)-IF(Calculator!$B$10="Yes",MIN(MAX(W188,0),'Tax Tables'!$B$27)*'Tax Tables'!$B$28+MIN(MAX(MAX(W188,0)-'Tax Tables'!$B$27,0),'Tax Tables'!$B$29)*'Tax Tables'!$B$30,MIN(MAX(W188,0),'Tax Tables'!$B$23)*'Tax Tables'!$B$24+MIN(MAX(MAX(W188,0)-'Tax Tables'!$B$23,0),'Tax Tables'!$B$25)*'Tax Tables'!$B$26))*Calculator!$B$11,Calculator!$B$12)</f>
        <v>33148.3</v>
      </c>
      <c r="Y188" s="11" t="n">
        <f aca="false">MAX(W188,0)-X188</f>
        <v>264341.7</v>
      </c>
      <c r="Z188" s="11" t="n">
        <f aca="false">MIN(IF(P188&gt;0,Calculator!$B$13,0)+T188+Calculator!$B$14,'Tax Tables'!$B$36)</f>
        <v>18500</v>
      </c>
      <c r="AA188" s="11" t="n">
        <f aca="false">MAX(P188-Z188,0)</f>
        <v>69000</v>
      </c>
      <c r="AB188" s="11" t="n">
        <f aca="false">SUMPRODUCT((AA188&gt;'Tax Tables'!$A$5:$A$17)*(AA188-'Tax Tables'!$A$5:$A$17)*'Tax Tables'!$C$5:$C$17)</f>
        <v>2580</v>
      </c>
      <c r="AC188" s="11" t="n">
        <f aca="false">IF(W188&lt;0,-1E+099,P188-T188-AB188+Y188+(T188+U188)*Calculator!$B$9)</f>
        <v>364136.7</v>
      </c>
    </row>
    <row r="189" customFormat="false" ht="15" hidden="false" customHeight="false" outlineLevel="0" collapsed="false">
      <c r="A189" s="11" t="n">
        <f aca="false">176*$B$3</f>
        <v>88000</v>
      </c>
      <c r="B189" s="11" t="n">
        <f aca="false">0</f>
        <v>0</v>
      </c>
      <c r="C189" s="11" t="n">
        <f aca="false">A189-B189</f>
        <v>88000</v>
      </c>
      <c r="D189" s="11" t="n">
        <f aca="false">IF(Calculator!$B$6="Yes",MIN(B189,'Tax Tables'!$B$31*'Tax Tables'!$B$32),0)</f>
        <v>0</v>
      </c>
      <c r="E189" s="11" t="n">
        <f aca="false">D189*Calculator!$B$7</f>
        <v>0</v>
      </c>
      <c r="F189" s="11" t="n">
        <f aca="false">D189*Calculator!$B$8</f>
        <v>0</v>
      </c>
      <c r="G189" s="11" t="n">
        <f aca="false">IF(B189&gt;0,'Tax Tables'!$B$32*MIN(MAX(B189/'Tax Tables'!$B$32*'Tax Tables'!$B$33,'Tax Tables'!$B$34),'Tax Tables'!$B$35),0)</f>
        <v>0</v>
      </c>
      <c r="H189" s="11" t="n">
        <f aca="false">Calculator!$B$5-A189-F189-G189</f>
        <v>312000</v>
      </c>
      <c r="I189" s="11" t="n">
        <f aca="false">'Tax Tables'!$B$22*(MAX(H189,0)-IF(Calculator!$B$10="Yes",MIN(MAX(H189,0),'Tax Tables'!$B$27)*'Tax Tables'!$B$28+MIN(MAX(MAX(H189,0)-'Tax Tables'!$B$27,0),'Tax Tables'!$B$29)*'Tax Tables'!$B$30,MIN(MAX(H189,0),'Tax Tables'!$B$23)*'Tax Tables'!$B$24+MIN(MAX(MAX(H189,0)-'Tax Tables'!$B$23,0),'Tax Tables'!$B$25)*'Tax Tables'!$B$26))*1-MIN('Tax Tables'!$B$22*(MAX(H189,0)-IF(Calculator!$B$10="Yes",MIN(MAX(H189,0),'Tax Tables'!$B$27)*'Tax Tables'!$B$28+MIN(MAX(MAX(H189,0)-'Tax Tables'!$B$27,0),'Tax Tables'!$B$29)*'Tax Tables'!$B$30,MIN(MAX(H189,0),'Tax Tables'!$B$23)*'Tax Tables'!$B$24+MIN(MAX(MAX(H189,0)-'Tax Tables'!$B$23,0),'Tax Tables'!$B$25)*'Tax Tables'!$B$26))*Calculator!$B$11,Calculator!$B$12)</f>
        <v>35615</v>
      </c>
      <c r="J189" s="11" t="n">
        <f aca="false">MAX(H189,0)-I189</f>
        <v>276385</v>
      </c>
      <c r="K189" s="11" t="n">
        <f aca="false">MIN(IF(A189&gt;0,Calculator!$B$13,0)+E189+Calculator!$B$14,'Tax Tables'!$B$36)</f>
        <v>1000</v>
      </c>
      <c r="L189" s="11" t="n">
        <f aca="false">MAX(A189-K189,0)</f>
        <v>87000</v>
      </c>
      <c r="M189" s="11" t="n">
        <f aca="false">SUMPRODUCT((L189&gt;'Tax Tables'!$A$5:$A$17)*(L189-'Tax Tables'!$A$5:$A$17)*'Tax Tables'!$C$5:$C$17)</f>
        <v>4155</v>
      </c>
      <c r="N189" s="11" t="n">
        <f aca="false">IF(H189&lt;0,-1E+099,A189-E189-M189+J189+(E189+F189)*Calculator!$B$9)</f>
        <v>360230</v>
      </c>
      <c r="O189" s="2"/>
      <c r="P189" s="11" t="n">
        <f aca="false">176*$B$3</f>
        <v>88000</v>
      </c>
      <c r="Q189" s="11" t="n">
        <f aca="false">MIN(P189,'Tax Tables'!$B$31*'Tax Tables'!$B$32)</f>
        <v>88000</v>
      </c>
      <c r="R189" s="11" t="n">
        <f aca="false">P189-Q189</f>
        <v>0</v>
      </c>
      <c r="S189" s="11" t="n">
        <f aca="false">IF(Calculator!$B$6="Yes",MIN(Q189,'Tax Tables'!$B$31*'Tax Tables'!$B$32),0)</f>
        <v>88000</v>
      </c>
      <c r="T189" s="11" t="n">
        <f aca="false">S189*Calculator!$B$7</f>
        <v>17600</v>
      </c>
      <c r="U189" s="11" t="n">
        <f aca="false">S189*Calculator!$B$8</f>
        <v>14960</v>
      </c>
      <c r="V189" s="11" t="n">
        <f aca="false">IF(Q189&gt;0,'Tax Tables'!$B$32*MIN(MAX(Q189/'Tax Tables'!$B$32*'Tax Tables'!$B$33,'Tax Tables'!$B$34),'Tax Tables'!$B$35),0)</f>
        <v>135</v>
      </c>
      <c r="W189" s="11" t="n">
        <f aca="false">Calculator!$B$5-P189-U189-V189</f>
        <v>296905</v>
      </c>
      <c r="X189" s="11" t="n">
        <f aca="false">'Tax Tables'!$B$22*(MAX(W189,0)-IF(Calculator!$B$10="Yes",MIN(MAX(W189,0),'Tax Tables'!$B$27)*'Tax Tables'!$B$28+MIN(MAX(MAX(W189,0)-'Tax Tables'!$B$27,0),'Tax Tables'!$B$29)*'Tax Tables'!$B$30,MIN(MAX(W189,0),'Tax Tables'!$B$23)*'Tax Tables'!$B$24+MIN(MAX(MAX(W189,0)-'Tax Tables'!$B$23,0),'Tax Tables'!$B$25)*'Tax Tables'!$B$26))*1-MIN('Tax Tables'!$B$22*(MAX(W189,0)-IF(Calculator!$B$10="Yes",MIN(MAX(W189,0),'Tax Tables'!$B$27)*'Tax Tables'!$B$28+MIN(MAX(MAX(W189,0)-'Tax Tables'!$B$27,0),'Tax Tables'!$B$29)*'Tax Tables'!$B$30,MIN(MAX(W189,0),'Tax Tables'!$B$23)*'Tax Tables'!$B$24+MIN(MAX(MAX(W189,0)-'Tax Tables'!$B$23,0),'Tax Tables'!$B$25)*'Tax Tables'!$B$26))*Calculator!$B$11,Calculator!$B$12)</f>
        <v>33048.85</v>
      </c>
      <c r="Y189" s="11" t="n">
        <f aca="false">MAX(W189,0)-X189</f>
        <v>263856.15</v>
      </c>
      <c r="Z189" s="11" t="n">
        <f aca="false">MIN(IF(P189&gt;0,Calculator!$B$13,0)+T189+Calculator!$B$14,'Tax Tables'!$B$36)</f>
        <v>18600</v>
      </c>
      <c r="AA189" s="11" t="n">
        <f aca="false">MAX(P189-Z189,0)</f>
        <v>69400</v>
      </c>
      <c r="AB189" s="11" t="n">
        <f aca="false">SUMPRODUCT((AA189&gt;'Tax Tables'!$A$5:$A$17)*(AA189-'Tax Tables'!$A$5:$A$17)*'Tax Tables'!$C$5:$C$17)</f>
        <v>2608</v>
      </c>
      <c r="AC189" s="11" t="n">
        <f aca="false">IF(W189&lt;0,-1E+099,P189-T189-AB189+Y189+(T189+U189)*Calculator!$B$9)</f>
        <v>364208.15</v>
      </c>
    </row>
    <row r="190" customFormat="false" ht="15" hidden="false" customHeight="false" outlineLevel="0" collapsed="false">
      <c r="A190" s="11" t="n">
        <f aca="false">177*$B$3</f>
        <v>88500</v>
      </c>
      <c r="B190" s="11" t="n">
        <f aca="false">0</f>
        <v>0</v>
      </c>
      <c r="C190" s="11" t="n">
        <f aca="false">A190-B190</f>
        <v>88500</v>
      </c>
      <c r="D190" s="11" t="n">
        <f aca="false">IF(Calculator!$B$6="Yes",MIN(B190,'Tax Tables'!$B$31*'Tax Tables'!$B$32),0)</f>
        <v>0</v>
      </c>
      <c r="E190" s="11" t="n">
        <f aca="false">D190*Calculator!$B$7</f>
        <v>0</v>
      </c>
      <c r="F190" s="11" t="n">
        <f aca="false">D190*Calculator!$B$8</f>
        <v>0</v>
      </c>
      <c r="G190" s="11" t="n">
        <f aca="false">IF(B190&gt;0,'Tax Tables'!$B$32*MIN(MAX(B190/'Tax Tables'!$B$32*'Tax Tables'!$B$33,'Tax Tables'!$B$34),'Tax Tables'!$B$35),0)</f>
        <v>0</v>
      </c>
      <c r="H190" s="11" t="n">
        <f aca="false">Calculator!$B$5-A190-F190-G190</f>
        <v>311500</v>
      </c>
      <c r="I190" s="11" t="n">
        <f aca="false">'Tax Tables'!$B$22*(MAX(H190,0)-IF(Calculator!$B$10="Yes",MIN(MAX(H190,0),'Tax Tables'!$B$27)*'Tax Tables'!$B$28+MIN(MAX(MAX(H190,0)-'Tax Tables'!$B$27,0),'Tax Tables'!$B$29)*'Tax Tables'!$B$30,MIN(MAX(H190,0),'Tax Tables'!$B$23)*'Tax Tables'!$B$24+MIN(MAX(MAX(H190,0)-'Tax Tables'!$B$23,0),'Tax Tables'!$B$25)*'Tax Tables'!$B$26))*1-MIN('Tax Tables'!$B$22*(MAX(H190,0)-IF(Calculator!$B$10="Yes",MIN(MAX(H190,0),'Tax Tables'!$B$27)*'Tax Tables'!$B$28+MIN(MAX(MAX(H190,0)-'Tax Tables'!$B$27,0),'Tax Tables'!$B$29)*'Tax Tables'!$B$30,MIN(MAX(H190,0),'Tax Tables'!$B$23)*'Tax Tables'!$B$24+MIN(MAX(MAX(H190,0)-'Tax Tables'!$B$23,0),'Tax Tables'!$B$25)*'Tax Tables'!$B$26))*Calculator!$B$11,Calculator!$B$12)</f>
        <v>35530</v>
      </c>
      <c r="J190" s="11" t="n">
        <f aca="false">MAX(H190,0)-I190</f>
        <v>275970</v>
      </c>
      <c r="K190" s="11" t="n">
        <f aca="false">MIN(IF(A190&gt;0,Calculator!$B$13,0)+E190+Calculator!$B$14,'Tax Tables'!$B$36)</f>
        <v>1000</v>
      </c>
      <c r="L190" s="11" t="n">
        <f aca="false">MAX(A190-K190,0)</f>
        <v>87500</v>
      </c>
      <c r="M190" s="11" t="n">
        <f aca="false">SUMPRODUCT((L190&gt;'Tax Tables'!$A$5:$A$17)*(L190-'Tax Tables'!$A$5:$A$17)*'Tax Tables'!$C$5:$C$17)</f>
        <v>4212.5</v>
      </c>
      <c r="N190" s="11" t="n">
        <f aca="false">IF(H190&lt;0,-1E+099,A190-E190-M190+J190+(E190+F190)*Calculator!$B$9)</f>
        <v>360257.5</v>
      </c>
      <c r="O190" s="2"/>
      <c r="P190" s="11" t="n">
        <f aca="false">177*$B$3</f>
        <v>88500</v>
      </c>
      <c r="Q190" s="11" t="n">
        <f aca="false">MIN(P190,'Tax Tables'!$B$31*'Tax Tables'!$B$32)</f>
        <v>88500</v>
      </c>
      <c r="R190" s="11" t="n">
        <f aca="false">P190-Q190</f>
        <v>0</v>
      </c>
      <c r="S190" s="11" t="n">
        <f aca="false">IF(Calculator!$B$6="Yes",MIN(Q190,'Tax Tables'!$B$31*'Tax Tables'!$B$32),0)</f>
        <v>88500</v>
      </c>
      <c r="T190" s="11" t="n">
        <f aca="false">S190*Calculator!$B$7</f>
        <v>17700</v>
      </c>
      <c r="U190" s="11" t="n">
        <f aca="false">S190*Calculator!$B$8</f>
        <v>15045</v>
      </c>
      <c r="V190" s="11" t="n">
        <f aca="false">IF(Q190&gt;0,'Tax Tables'!$B$32*MIN(MAX(Q190/'Tax Tables'!$B$32*'Tax Tables'!$B$33,'Tax Tables'!$B$34),'Tax Tables'!$B$35),0)</f>
        <v>135</v>
      </c>
      <c r="W190" s="11" t="n">
        <f aca="false">Calculator!$B$5-P190-U190-V190</f>
        <v>296320</v>
      </c>
      <c r="X190" s="11" t="n">
        <f aca="false">'Tax Tables'!$B$22*(MAX(W190,0)-IF(Calculator!$B$10="Yes",MIN(MAX(W190,0),'Tax Tables'!$B$27)*'Tax Tables'!$B$28+MIN(MAX(MAX(W190,0)-'Tax Tables'!$B$27,0),'Tax Tables'!$B$29)*'Tax Tables'!$B$30,MIN(MAX(W190,0),'Tax Tables'!$B$23)*'Tax Tables'!$B$24+MIN(MAX(MAX(W190,0)-'Tax Tables'!$B$23,0),'Tax Tables'!$B$25)*'Tax Tables'!$B$26))*1-MIN('Tax Tables'!$B$22*(MAX(W190,0)-IF(Calculator!$B$10="Yes",MIN(MAX(W190,0),'Tax Tables'!$B$27)*'Tax Tables'!$B$28+MIN(MAX(MAX(W190,0)-'Tax Tables'!$B$27,0),'Tax Tables'!$B$29)*'Tax Tables'!$B$30,MIN(MAX(W190,0),'Tax Tables'!$B$23)*'Tax Tables'!$B$24+MIN(MAX(MAX(W190,0)-'Tax Tables'!$B$23,0),'Tax Tables'!$B$25)*'Tax Tables'!$B$26))*Calculator!$B$11,Calculator!$B$12)</f>
        <v>32949.4</v>
      </c>
      <c r="Y190" s="11" t="n">
        <f aca="false">MAX(W190,0)-X190</f>
        <v>263370.6</v>
      </c>
      <c r="Z190" s="11" t="n">
        <f aca="false">MIN(IF(P190&gt;0,Calculator!$B$13,0)+T190+Calculator!$B$14,'Tax Tables'!$B$36)</f>
        <v>18700</v>
      </c>
      <c r="AA190" s="11" t="n">
        <f aca="false">MAX(P190-Z190,0)</f>
        <v>69800</v>
      </c>
      <c r="AB190" s="11" t="n">
        <f aca="false">SUMPRODUCT((AA190&gt;'Tax Tables'!$A$5:$A$17)*(AA190-'Tax Tables'!$A$5:$A$17)*'Tax Tables'!$C$5:$C$17)</f>
        <v>2636</v>
      </c>
      <c r="AC190" s="11" t="n">
        <f aca="false">IF(W190&lt;0,-1E+099,P190-T190-AB190+Y190+(T190+U190)*Calculator!$B$9)</f>
        <v>364279.6</v>
      </c>
    </row>
    <row r="191" customFormat="false" ht="15" hidden="false" customHeight="false" outlineLevel="0" collapsed="false">
      <c r="A191" s="11" t="n">
        <f aca="false">178*$B$3</f>
        <v>89000</v>
      </c>
      <c r="B191" s="11" t="n">
        <f aca="false">0</f>
        <v>0</v>
      </c>
      <c r="C191" s="11" t="n">
        <f aca="false">A191-B191</f>
        <v>89000</v>
      </c>
      <c r="D191" s="11" t="n">
        <f aca="false">IF(Calculator!$B$6="Yes",MIN(B191,'Tax Tables'!$B$31*'Tax Tables'!$B$32),0)</f>
        <v>0</v>
      </c>
      <c r="E191" s="11" t="n">
        <f aca="false">D191*Calculator!$B$7</f>
        <v>0</v>
      </c>
      <c r="F191" s="11" t="n">
        <f aca="false">D191*Calculator!$B$8</f>
        <v>0</v>
      </c>
      <c r="G191" s="11" t="n">
        <f aca="false">IF(B191&gt;0,'Tax Tables'!$B$32*MIN(MAX(B191/'Tax Tables'!$B$32*'Tax Tables'!$B$33,'Tax Tables'!$B$34),'Tax Tables'!$B$35),0)</f>
        <v>0</v>
      </c>
      <c r="H191" s="11" t="n">
        <f aca="false">Calculator!$B$5-A191-F191-G191</f>
        <v>311000</v>
      </c>
      <c r="I191" s="11" t="n">
        <f aca="false">'Tax Tables'!$B$22*(MAX(H191,0)-IF(Calculator!$B$10="Yes",MIN(MAX(H191,0),'Tax Tables'!$B$27)*'Tax Tables'!$B$28+MIN(MAX(MAX(H191,0)-'Tax Tables'!$B$27,0),'Tax Tables'!$B$29)*'Tax Tables'!$B$30,MIN(MAX(H191,0),'Tax Tables'!$B$23)*'Tax Tables'!$B$24+MIN(MAX(MAX(H191,0)-'Tax Tables'!$B$23,0),'Tax Tables'!$B$25)*'Tax Tables'!$B$26))*1-MIN('Tax Tables'!$B$22*(MAX(H191,0)-IF(Calculator!$B$10="Yes",MIN(MAX(H191,0),'Tax Tables'!$B$27)*'Tax Tables'!$B$28+MIN(MAX(MAX(H191,0)-'Tax Tables'!$B$27,0),'Tax Tables'!$B$29)*'Tax Tables'!$B$30,MIN(MAX(H191,0),'Tax Tables'!$B$23)*'Tax Tables'!$B$24+MIN(MAX(MAX(H191,0)-'Tax Tables'!$B$23,0),'Tax Tables'!$B$25)*'Tax Tables'!$B$26))*Calculator!$B$11,Calculator!$B$12)</f>
        <v>35445</v>
      </c>
      <c r="J191" s="11" t="n">
        <f aca="false">MAX(H191,0)-I191</f>
        <v>275555</v>
      </c>
      <c r="K191" s="11" t="n">
        <f aca="false">MIN(IF(A191&gt;0,Calculator!$B$13,0)+E191+Calculator!$B$14,'Tax Tables'!$B$36)</f>
        <v>1000</v>
      </c>
      <c r="L191" s="11" t="n">
        <f aca="false">MAX(A191-K191,0)</f>
        <v>88000</v>
      </c>
      <c r="M191" s="11" t="n">
        <f aca="false">SUMPRODUCT((L191&gt;'Tax Tables'!$A$5:$A$17)*(L191-'Tax Tables'!$A$5:$A$17)*'Tax Tables'!$C$5:$C$17)</f>
        <v>4270</v>
      </c>
      <c r="N191" s="11" t="n">
        <f aca="false">IF(H191&lt;0,-1E+099,A191-E191-M191+J191+(E191+F191)*Calculator!$B$9)</f>
        <v>360285</v>
      </c>
      <c r="O191" s="2"/>
      <c r="P191" s="11" t="n">
        <f aca="false">178*$B$3</f>
        <v>89000</v>
      </c>
      <c r="Q191" s="11" t="n">
        <f aca="false">MIN(P191,'Tax Tables'!$B$31*'Tax Tables'!$B$32)</f>
        <v>89000</v>
      </c>
      <c r="R191" s="11" t="n">
        <f aca="false">P191-Q191</f>
        <v>0</v>
      </c>
      <c r="S191" s="11" t="n">
        <f aca="false">IF(Calculator!$B$6="Yes",MIN(Q191,'Tax Tables'!$B$31*'Tax Tables'!$B$32),0)</f>
        <v>89000</v>
      </c>
      <c r="T191" s="11" t="n">
        <f aca="false">S191*Calculator!$B$7</f>
        <v>17800</v>
      </c>
      <c r="U191" s="11" t="n">
        <f aca="false">S191*Calculator!$B$8</f>
        <v>15130</v>
      </c>
      <c r="V191" s="11" t="n">
        <f aca="false">IF(Q191&gt;0,'Tax Tables'!$B$32*MIN(MAX(Q191/'Tax Tables'!$B$32*'Tax Tables'!$B$33,'Tax Tables'!$B$34),'Tax Tables'!$B$35),0)</f>
        <v>135</v>
      </c>
      <c r="W191" s="11" t="n">
        <f aca="false">Calculator!$B$5-P191-U191-V191</f>
        <v>295735</v>
      </c>
      <c r="X191" s="11" t="n">
        <f aca="false">'Tax Tables'!$B$22*(MAX(W191,0)-IF(Calculator!$B$10="Yes",MIN(MAX(W191,0),'Tax Tables'!$B$27)*'Tax Tables'!$B$28+MIN(MAX(MAX(W191,0)-'Tax Tables'!$B$27,0),'Tax Tables'!$B$29)*'Tax Tables'!$B$30,MIN(MAX(W191,0),'Tax Tables'!$B$23)*'Tax Tables'!$B$24+MIN(MAX(MAX(W191,0)-'Tax Tables'!$B$23,0),'Tax Tables'!$B$25)*'Tax Tables'!$B$26))*1-MIN('Tax Tables'!$B$22*(MAX(W191,0)-IF(Calculator!$B$10="Yes",MIN(MAX(W191,0),'Tax Tables'!$B$27)*'Tax Tables'!$B$28+MIN(MAX(MAX(W191,0)-'Tax Tables'!$B$27,0),'Tax Tables'!$B$29)*'Tax Tables'!$B$30,MIN(MAX(W191,0),'Tax Tables'!$B$23)*'Tax Tables'!$B$24+MIN(MAX(MAX(W191,0)-'Tax Tables'!$B$23,0),'Tax Tables'!$B$25)*'Tax Tables'!$B$26))*Calculator!$B$11,Calculator!$B$12)</f>
        <v>32849.95</v>
      </c>
      <c r="Y191" s="11" t="n">
        <f aca="false">MAX(W191,0)-X191</f>
        <v>262885.05</v>
      </c>
      <c r="Z191" s="11" t="n">
        <f aca="false">MIN(IF(P191&gt;0,Calculator!$B$13,0)+T191+Calculator!$B$14,'Tax Tables'!$B$36)</f>
        <v>18800</v>
      </c>
      <c r="AA191" s="11" t="n">
        <f aca="false">MAX(P191-Z191,0)</f>
        <v>70200</v>
      </c>
      <c r="AB191" s="11" t="n">
        <f aca="false">SUMPRODUCT((AA191&gt;'Tax Tables'!$A$5:$A$17)*(AA191-'Tax Tables'!$A$5:$A$17)*'Tax Tables'!$C$5:$C$17)</f>
        <v>2664</v>
      </c>
      <c r="AC191" s="11" t="n">
        <f aca="false">IF(W191&lt;0,-1E+099,P191-T191-AB191+Y191+(T191+U191)*Calculator!$B$9)</f>
        <v>364351.05</v>
      </c>
    </row>
    <row r="192" customFormat="false" ht="15" hidden="false" customHeight="false" outlineLevel="0" collapsed="false">
      <c r="A192" s="11" t="n">
        <f aca="false">179*$B$3</f>
        <v>89500</v>
      </c>
      <c r="B192" s="11" t="n">
        <f aca="false">0</f>
        <v>0</v>
      </c>
      <c r="C192" s="11" t="n">
        <f aca="false">A192-B192</f>
        <v>89500</v>
      </c>
      <c r="D192" s="11" t="n">
        <f aca="false">IF(Calculator!$B$6="Yes",MIN(B192,'Tax Tables'!$B$31*'Tax Tables'!$B$32),0)</f>
        <v>0</v>
      </c>
      <c r="E192" s="11" t="n">
        <f aca="false">D192*Calculator!$B$7</f>
        <v>0</v>
      </c>
      <c r="F192" s="11" t="n">
        <f aca="false">D192*Calculator!$B$8</f>
        <v>0</v>
      </c>
      <c r="G192" s="11" t="n">
        <f aca="false">IF(B192&gt;0,'Tax Tables'!$B$32*MIN(MAX(B192/'Tax Tables'!$B$32*'Tax Tables'!$B$33,'Tax Tables'!$B$34),'Tax Tables'!$B$35),0)</f>
        <v>0</v>
      </c>
      <c r="H192" s="11" t="n">
        <f aca="false">Calculator!$B$5-A192-F192-G192</f>
        <v>310500</v>
      </c>
      <c r="I192" s="11" t="n">
        <f aca="false">'Tax Tables'!$B$22*(MAX(H192,0)-IF(Calculator!$B$10="Yes",MIN(MAX(H192,0),'Tax Tables'!$B$27)*'Tax Tables'!$B$28+MIN(MAX(MAX(H192,0)-'Tax Tables'!$B$27,0),'Tax Tables'!$B$29)*'Tax Tables'!$B$30,MIN(MAX(H192,0),'Tax Tables'!$B$23)*'Tax Tables'!$B$24+MIN(MAX(MAX(H192,0)-'Tax Tables'!$B$23,0),'Tax Tables'!$B$25)*'Tax Tables'!$B$26))*1-MIN('Tax Tables'!$B$22*(MAX(H192,0)-IF(Calculator!$B$10="Yes",MIN(MAX(H192,0),'Tax Tables'!$B$27)*'Tax Tables'!$B$28+MIN(MAX(MAX(H192,0)-'Tax Tables'!$B$27,0),'Tax Tables'!$B$29)*'Tax Tables'!$B$30,MIN(MAX(H192,0),'Tax Tables'!$B$23)*'Tax Tables'!$B$24+MIN(MAX(MAX(H192,0)-'Tax Tables'!$B$23,0),'Tax Tables'!$B$25)*'Tax Tables'!$B$26))*Calculator!$B$11,Calculator!$B$12)</f>
        <v>35360</v>
      </c>
      <c r="J192" s="11" t="n">
        <f aca="false">MAX(H192,0)-I192</f>
        <v>275140</v>
      </c>
      <c r="K192" s="11" t="n">
        <f aca="false">MIN(IF(A192&gt;0,Calculator!$B$13,0)+E192+Calculator!$B$14,'Tax Tables'!$B$36)</f>
        <v>1000</v>
      </c>
      <c r="L192" s="11" t="n">
        <f aca="false">MAX(A192-K192,0)</f>
        <v>88500</v>
      </c>
      <c r="M192" s="11" t="n">
        <f aca="false">SUMPRODUCT((L192&gt;'Tax Tables'!$A$5:$A$17)*(L192-'Tax Tables'!$A$5:$A$17)*'Tax Tables'!$C$5:$C$17)</f>
        <v>4327.5</v>
      </c>
      <c r="N192" s="11" t="n">
        <f aca="false">IF(H192&lt;0,-1E+099,A192-E192-M192+J192+(E192+F192)*Calculator!$B$9)</f>
        <v>360312.5</v>
      </c>
      <c r="O192" s="2"/>
      <c r="P192" s="11" t="n">
        <f aca="false">179*$B$3</f>
        <v>89500</v>
      </c>
      <c r="Q192" s="11" t="n">
        <f aca="false">MIN(P192,'Tax Tables'!$B$31*'Tax Tables'!$B$32)</f>
        <v>89500</v>
      </c>
      <c r="R192" s="11" t="n">
        <f aca="false">P192-Q192</f>
        <v>0</v>
      </c>
      <c r="S192" s="11" t="n">
        <f aca="false">IF(Calculator!$B$6="Yes",MIN(Q192,'Tax Tables'!$B$31*'Tax Tables'!$B$32),0)</f>
        <v>89500</v>
      </c>
      <c r="T192" s="11" t="n">
        <f aca="false">S192*Calculator!$B$7</f>
        <v>17900</v>
      </c>
      <c r="U192" s="11" t="n">
        <f aca="false">S192*Calculator!$B$8</f>
        <v>15215</v>
      </c>
      <c r="V192" s="11" t="n">
        <f aca="false">IF(Q192&gt;0,'Tax Tables'!$B$32*MIN(MAX(Q192/'Tax Tables'!$B$32*'Tax Tables'!$B$33,'Tax Tables'!$B$34),'Tax Tables'!$B$35),0)</f>
        <v>135</v>
      </c>
      <c r="W192" s="11" t="n">
        <f aca="false">Calculator!$B$5-P192-U192-V192</f>
        <v>295150</v>
      </c>
      <c r="X192" s="11" t="n">
        <f aca="false">'Tax Tables'!$B$22*(MAX(W192,0)-IF(Calculator!$B$10="Yes",MIN(MAX(W192,0),'Tax Tables'!$B$27)*'Tax Tables'!$B$28+MIN(MAX(MAX(W192,0)-'Tax Tables'!$B$27,0),'Tax Tables'!$B$29)*'Tax Tables'!$B$30,MIN(MAX(W192,0),'Tax Tables'!$B$23)*'Tax Tables'!$B$24+MIN(MAX(MAX(W192,0)-'Tax Tables'!$B$23,0),'Tax Tables'!$B$25)*'Tax Tables'!$B$26))*1-MIN('Tax Tables'!$B$22*(MAX(W192,0)-IF(Calculator!$B$10="Yes",MIN(MAX(W192,0),'Tax Tables'!$B$27)*'Tax Tables'!$B$28+MIN(MAX(MAX(W192,0)-'Tax Tables'!$B$27,0),'Tax Tables'!$B$29)*'Tax Tables'!$B$30,MIN(MAX(W192,0),'Tax Tables'!$B$23)*'Tax Tables'!$B$24+MIN(MAX(MAX(W192,0)-'Tax Tables'!$B$23,0),'Tax Tables'!$B$25)*'Tax Tables'!$B$26))*Calculator!$B$11,Calculator!$B$12)</f>
        <v>32750.5</v>
      </c>
      <c r="Y192" s="11" t="n">
        <f aca="false">MAX(W192,0)-X192</f>
        <v>262399.5</v>
      </c>
      <c r="Z192" s="11" t="n">
        <f aca="false">MIN(IF(P192&gt;0,Calculator!$B$13,0)+T192+Calculator!$B$14,'Tax Tables'!$B$36)</f>
        <v>18900</v>
      </c>
      <c r="AA192" s="11" t="n">
        <f aca="false">MAX(P192-Z192,0)</f>
        <v>70600</v>
      </c>
      <c r="AB192" s="11" t="n">
        <f aca="false">SUMPRODUCT((AA192&gt;'Tax Tables'!$A$5:$A$17)*(AA192-'Tax Tables'!$A$5:$A$17)*'Tax Tables'!$C$5:$C$17)</f>
        <v>2692</v>
      </c>
      <c r="AC192" s="11" t="n">
        <f aca="false">IF(W192&lt;0,-1E+099,P192-T192-AB192+Y192+(T192+U192)*Calculator!$B$9)</f>
        <v>364422.5</v>
      </c>
    </row>
    <row r="193" customFormat="false" ht="15" hidden="false" customHeight="false" outlineLevel="0" collapsed="false">
      <c r="A193" s="11" t="n">
        <f aca="false">180*$B$3</f>
        <v>90000</v>
      </c>
      <c r="B193" s="11" t="n">
        <f aca="false">0</f>
        <v>0</v>
      </c>
      <c r="C193" s="11" t="n">
        <f aca="false">A193-B193</f>
        <v>90000</v>
      </c>
      <c r="D193" s="11" t="n">
        <f aca="false">IF(Calculator!$B$6="Yes",MIN(B193,'Tax Tables'!$B$31*'Tax Tables'!$B$32),0)</f>
        <v>0</v>
      </c>
      <c r="E193" s="11" t="n">
        <f aca="false">D193*Calculator!$B$7</f>
        <v>0</v>
      </c>
      <c r="F193" s="11" t="n">
        <f aca="false">D193*Calculator!$B$8</f>
        <v>0</v>
      </c>
      <c r="G193" s="11" t="n">
        <f aca="false">IF(B193&gt;0,'Tax Tables'!$B$32*MIN(MAX(B193/'Tax Tables'!$B$32*'Tax Tables'!$B$33,'Tax Tables'!$B$34),'Tax Tables'!$B$35),0)</f>
        <v>0</v>
      </c>
      <c r="H193" s="11" t="n">
        <f aca="false">Calculator!$B$5-A193-F193-G193</f>
        <v>310000</v>
      </c>
      <c r="I193" s="11" t="n">
        <f aca="false">'Tax Tables'!$B$22*(MAX(H193,0)-IF(Calculator!$B$10="Yes",MIN(MAX(H193,0),'Tax Tables'!$B$27)*'Tax Tables'!$B$28+MIN(MAX(MAX(H193,0)-'Tax Tables'!$B$27,0),'Tax Tables'!$B$29)*'Tax Tables'!$B$30,MIN(MAX(H193,0),'Tax Tables'!$B$23)*'Tax Tables'!$B$24+MIN(MAX(MAX(H193,0)-'Tax Tables'!$B$23,0),'Tax Tables'!$B$25)*'Tax Tables'!$B$26))*1-MIN('Tax Tables'!$B$22*(MAX(H193,0)-IF(Calculator!$B$10="Yes",MIN(MAX(H193,0),'Tax Tables'!$B$27)*'Tax Tables'!$B$28+MIN(MAX(MAX(H193,0)-'Tax Tables'!$B$27,0),'Tax Tables'!$B$29)*'Tax Tables'!$B$30,MIN(MAX(H193,0),'Tax Tables'!$B$23)*'Tax Tables'!$B$24+MIN(MAX(MAX(H193,0)-'Tax Tables'!$B$23,0),'Tax Tables'!$B$25)*'Tax Tables'!$B$26))*Calculator!$B$11,Calculator!$B$12)</f>
        <v>35275</v>
      </c>
      <c r="J193" s="11" t="n">
        <f aca="false">MAX(H193,0)-I193</f>
        <v>274725</v>
      </c>
      <c r="K193" s="11" t="n">
        <f aca="false">MIN(IF(A193&gt;0,Calculator!$B$13,0)+E193+Calculator!$B$14,'Tax Tables'!$B$36)</f>
        <v>1000</v>
      </c>
      <c r="L193" s="11" t="n">
        <f aca="false">MAX(A193-K193,0)</f>
        <v>89000</v>
      </c>
      <c r="M193" s="11" t="n">
        <f aca="false">SUMPRODUCT((L193&gt;'Tax Tables'!$A$5:$A$17)*(L193-'Tax Tables'!$A$5:$A$17)*'Tax Tables'!$C$5:$C$17)</f>
        <v>4385</v>
      </c>
      <c r="N193" s="11" t="n">
        <f aca="false">IF(H193&lt;0,-1E+099,A193-E193-M193+J193+(E193+F193)*Calculator!$B$9)</f>
        <v>360340</v>
      </c>
      <c r="O193" s="2"/>
      <c r="P193" s="11" t="n">
        <f aca="false">180*$B$3</f>
        <v>90000</v>
      </c>
      <c r="Q193" s="11" t="n">
        <f aca="false">MIN(P193,'Tax Tables'!$B$31*'Tax Tables'!$B$32)</f>
        <v>90000</v>
      </c>
      <c r="R193" s="11" t="n">
        <f aca="false">P193-Q193</f>
        <v>0</v>
      </c>
      <c r="S193" s="11" t="n">
        <f aca="false">IF(Calculator!$B$6="Yes",MIN(Q193,'Tax Tables'!$B$31*'Tax Tables'!$B$32),0)</f>
        <v>90000</v>
      </c>
      <c r="T193" s="11" t="n">
        <f aca="false">S193*Calculator!$B$7</f>
        <v>18000</v>
      </c>
      <c r="U193" s="11" t="n">
        <f aca="false">S193*Calculator!$B$8</f>
        <v>15300</v>
      </c>
      <c r="V193" s="11" t="n">
        <f aca="false">IF(Q193&gt;0,'Tax Tables'!$B$32*MIN(MAX(Q193/'Tax Tables'!$B$32*'Tax Tables'!$B$33,'Tax Tables'!$B$34),'Tax Tables'!$B$35),0)</f>
        <v>135</v>
      </c>
      <c r="W193" s="11" t="n">
        <f aca="false">Calculator!$B$5-P193-U193-V193</f>
        <v>294565</v>
      </c>
      <c r="X193" s="11" t="n">
        <f aca="false">'Tax Tables'!$B$22*(MAX(W193,0)-IF(Calculator!$B$10="Yes",MIN(MAX(W193,0),'Tax Tables'!$B$27)*'Tax Tables'!$B$28+MIN(MAX(MAX(W193,0)-'Tax Tables'!$B$27,0),'Tax Tables'!$B$29)*'Tax Tables'!$B$30,MIN(MAX(W193,0),'Tax Tables'!$B$23)*'Tax Tables'!$B$24+MIN(MAX(MAX(W193,0)-'Tax Tables'!$B$23,0),'Tax Tables'!$B$25)*'Tax Tables'!$B$26))*1-MIN('Tax Tables'!$B$22*(MAX(W193,0)-IF(Calculator!$B$10="Yes",MIN(MAX(W193,0),'Tax Tables'!$B$27)*'Tax Tables'!$B$28+MIN(MAX(MAX(W193,0)-'Tax Tables'!$B$27,0),'Tax Tables'!$B$29)*'Tax Tables'!$B$30,MIN(MAX(W193,0),'Tax Tables'!$B$23)*'Tax Tables'!$B$24+MIN(MAX(MAX(W193,0)-'Tax Tables'!$B$23,0),'Tax Tables'!$B$25)*'Tax Tables'!$B$26))*Calculator!$B$11,Calculator!$B$12)</f>
        <v>32651.05</v>
      </c>
      <c r="Y193" s="11" t="n">
        <f aca="false">MAX(W193,0)-X193</f>
        <v>261913.95</v>
      </c>
      <c r="Z193" s="11" t="n">
        <f aca="false">MIN(IF(P193&gt;0,Calculator!$B$13,0)+T193+Calculator!$B$14,'Tax Tables'!$B$36)</f>
        <v>19000</v>
      </c>
      <c r="AA193" s="11" t="n">
        <f aca="false">MAX(P193-Z193,0)</f>
        <v>71000</v>
      </c>
      <c r="AB193" s="11" t="n">
        <f aca="false">SUMPRODUCT((AA193&gt;'Tax Tables'!$A$5:$A$17)*(AA193-'Tax Tables'!$A$5:$A$17)*'Tax Tables'!$C$5:$C$17)</f>
        <v>2720</v>
      </c>
      <c r="AC193" s="11" t="n">
        <f aca="false">IF(W193&lt;0,-1E+099,P193-T193-AB193+Y193+(T193+U193)*Calculator!$B$9)</f>
        <v>364493.95</v>
      </c>
    </row>
    <row r="194" customFormat="false" ht="15" hidden="false" customHeight="false" outlineLevel="0" collapsed="false">
      <c r="A194" s="11" t="n">
        <f aca="false">181*$B$3</f>
        <v>90500</v>
      </c>
      <c r="B194" s="11" t="n">
        <f aca="false">0</f>
        <v>0</v>
      </c>
      <c r="C194" s="11" t="n">
        <f aca="false">A194-B194</f>
        <v>90500</v>
      </c>
      <c r="D194" s="11" t="n">
        <f aca="false">IF(Calculator!$B$6="Yes",MIN(B194,'Tax Tables'!$B$31*'Tax Tables'!$B$32),0)</f>
        <v>0</v>
      </c>
      <c r="E194" s="11" t="n">
        <f aca="false">D194*Calculator!$B$7</f>
        <v>0</v>
      </c>
      <c r="F194" s="11" t="n">
        <f aca="false">D194*Calculator!$B$8</f>
        <v>0</v>
      </c>
      <c r="G194" s="11" t="n">
        <f aca="false">IF(B194&gt;0,'Tax Tables'!$B$32*MIN(MAX(B194/'Tax Tables'!$B$32*'Tax Tables'!$B$33,'Tax Tables'!$B$34),'Tax Tables'!$B$35),0)</f>
        <v>0</v>
      </c>
      <c r="H194" s="11" t="n">
        <f aca="false">Calculator!$B$5-A194-F194-G194</f>
        <v>309500</v>
      </c>
      <c r="I194" s="11" t="n">
        <f aca="false">'Tax Tables'!$B$22*(MAX(H194,0)-IF(Calculator!$B$10="Yes",MIN(MAX(H194,0),'Tax Tables'!$B$27)*'Tax Tables'!$B$28+MIN(MAX(MAX(H194,0)-'Tax Tables'!$B$27,0),'Tax Tables'!$B$29)*'Tax Tables'!$B$30,MIN(MAX(H194,0),'Tax Tables'!$B$23)*'Tax Tables'!$B$24+MIN(MAX(MAX(H194,0)-'Tax Tables'!$B$23,0),'Tax Tables'!$B$25)*'Tax Tables'!$B$26))*1-MIN('Tax Tables'!$B$22*(MAX(H194,0)-IF(Calculator!$B$10="Yes",MIN(MAX(H194,0),'Tax Tables'!$B$27)*'Tax Tables'!$B$28+MIN(MAX(MAX(H194,0)-'Tax Tables'!$B$27,0),'Tax Tables'!$B$29)*'Tax Tables'!$B$30,MIN(MAX(H194,0),'Tax Tables'!$B$23)*'Tax Tables'!$B$24+MIN(MAX(MAX(H194,0)-'Tax Tables'!$B$23,0),'Tax Tables'!$B$25)*'Tax Tables'!$B$26))*Calculator!$B$11,Calculator!$B$12)</f>
        <v>35190</v>
      </c>
      <c r="J194" s="11" t="n">
        <f aca="false">MAX(H194,0)-I194</f>
        <v>274310</v>
      </c>
      <c r="K194" s="11" t="n">
        <f aca="false">MIN(IF(A194&gt;0,Calculator!$B$13,0)+E194+Calculator!$B$14,'Tax Tables'!$B$36)</f>
        <v>1000</v>
      </c>
      <c r="L194" s="11" t="n">
        <f aca="false">MAX(A194-K194,0)</f>
        <v>89500</v>
      </c>
      <c r="M194" s="11" t="n">
        <f aca="false">SUMPRODUCT((L194&gt;'Tax Tables'!$A$5:$A$17)*(L194-'Tax Tables'!$A$5:$A$17)*'Tax Tables'!$C$5:$C$17)</f>
        <v>4442.5</v>
      </c>
      <c r="N194" s="11" t="n">
        <f aca="false">IF(H194&lt;0,-1E+099,A194-E194-M194+J194+(E194+F194)*Calculator!$B$9)</f>
        <v>360367.5</v>
      </c>
      <c r="O194" s="2"/>
      <c r="P194" s="11" t="n">
        <f aca="false">181*$B$3</f>
        <v>90500</v>
      </c>
      <c r="Q194" s="11" t="n">
        <f aca="false">MIN(P194,'Tax Tables'!$B$31*'Tax Tables'!$B$32)</f>
        <v>90500</v>
      </c>
      <c r="R194" s="11" t="n">
        <f aca="false">P194-Q194</f>
        <v>0</v>
      </c>
      <c r="S194" s="11" t="n">
        <f aca="false">IF(Calculator!$B$6="Yes",MIN(Q194,'Tax Tables'!$B$31*'Tax Tables'!$B$32),0)</f>
        <v>90500</v>
      </c>
      <c r="T194" s="11" t="n">
        <f aca="false">S194*Calculator!$B$7</f>
        <v>18100</v>
      </c>
      <c r="U194" s="11" t="n">
        <f aca="false">S194*Calculator!$B$8</f>
        <v>15385</v>
      </c>
      <c r="V194" s="11" t="n">
        <f aca="false">IF(Q194&gt;0,'Tax Tables'!$B$32*MIN(MAX(Q194/'Tax Tables'!$B$32*'Tax Tables'!$B$33,'Tax Tables'!$B$34),'Tax Tables'!$B$35),0)</f>
        <v>135</v>
      </c>
      <c r="W194" s="11" t="n">
        <f aca="false">Calculator!$B$5-P194-U194-V194</f>
        <v>293980</v>
      </c>
      <c r="X194" s="11" t="n">
        <f aca="false">'Tax Tables'!$B$22*(MAX(W194,0)-IF(Calculator!$B$10="Yes",MIN(MAX(W194,0),'Tax Tables'!$B$27)*'Tax Tables'!$B$28+MIN(MAX(MAX(W194,0)-'Tax Tables'!$B$27,0),'Tax Tables'!$B$29)*'Tax Tables'!$B$30,MIN(MAX(W194,0),'Tax Tables'!$B$23)*'Tax Tables'!$B$24+MIN(MAX(MAX(W194,0)-'Tax Tables'!$B$23,0),'Tax Tables'!$B$25)*'Tax Tables'!$B$26))*1-MIN('Tax Tables'!$B$22*(MAX(W194,0)-IF(Calculator!$B$10="Yes",MIN(MAX(W194,0),'Tax Tables'!$B$27)*'Tax Tables'!$B$28+MIN(MAX(MAX(W194,0)-'Tax Tables'!$B$27,0),'Tax Tables'!$B$29)*'Tax Tables'!$B$30,MIN(MAX(W194,0),'Tax Tables'!$B$23)*'Tax Tables'!$B$24+MIN(MAX(MAX(W194,0)-'Tax Tables'!$B$23,0),'Tax Tables'!$B$25)*'Tax Tables'!$B$26))*Calculator!$B$11,Calculator!$B$12)</f>
        <v>32551.6</v>
      </c>
      <c r="Y194" s="11" t="n">
        <f aca="false">MAX(W194,0)-X194</f>
        <v>261428.4</v>
      </c>
      <c r="Z194" s="11" t="n">
        <f aca="false">MIN(IF(P194&gt;0,Calculator!$B$13,0)+T194+Calculator!$B$14,'Tax Tables'!$B$36)</f>
        <v>19100</v>
      </c>
      <c r="AA194" s="11" t="n">
        <f aca="false">MAX(P194-Z194,0)</f>
        <v>71400</v>
      </c>
      <c r="AB194" s="11" t="n">
        <f aca="false">SUMPRODUCT((AA194&gt;'Tax Tables'!$A$5:$A$17)*(AA194-'Tax Tables'!$A$5:$A$17)*'Tax Tables'!$C$5:$C$17)</f>
        <v>2748</v>
      </c>
      <c r="AC194" s="11" t="n">
        <f aca="false">IF(W194&lt;0,-1E+099,P194-T194-AB194+Y194+(T194+U194)*Calculator!$B$9)</f>
        <v>364565.4</v>
      </c>
    </row>
    <row r="195" customFormat="false" ht="15" hidden="false" customHeight="false" outlineLevel="0" collapsed="false">
      <c r="A195" s="11" t="n">
        <f aca="false">182*$B$3</f>
        <v>91000</v>
      </c>
      <c r="B195" s="11" t="n">
        <f aca="false">0</f>
        <v>0</v>
      </c>
      <c r="C195" s="11" t="n">
        <f aca="false">A195-B195</f>
        <v>91000</v>
      </c>
      <c r="D195" s="11" t="n">
        <f aca="false">IF(Calculator!$B$6="Yes",MIN(B195,'Tax Tables'!$B$31*'Tax Tables'!$B$32),0)</f>
        <v>0</v>
      </c>
      <c r="E195" s="11" t="n">
        <f aca="false">D195*Calculator!$B$7</f>
        <v>0</v>
      </c>
      <c r="F195" s="11" t="n">
        <f aca="false">D195*Calculator!$B$8</f>
        <v>0</v>
      </c>
      <c r="G195" s="11" t="n">
        <f aca="false">IF(B195&gt;0,'Tax Tables'!$B$32*MIN(MAX(B195/'Tax Tables'!$B$32*'Tax Tables'!$B$33,'Tax Tables'!$B$34),'Tax Tables'!$B$35),0)</f>
        <v>0</v>
      </c>
      <c r="H195" s="11" t="n">
        <f aca="false">Calculator!$B$5-A195-F195-G195</f>
        <v>309000</v>
      </c>
      <c r="I195" s="11" t="n">
        <f aca="false">'Tax Tables'!$B$22*(MAX(H195,0)-IF(Calculator!$B$10="Yes",MIN(MAX(H195,0),'Tax Tables'!$B$27)*'Tax Tables'!$B$28+MIN(MAX(MAX(H195,0)-'Tax Tables'!$B$27,0),'Tax Tables'!$B$29)*'Tax Tables'!$B$30,MIN(MAX(H195,0),'Tax Tables'!$B$23)*'Tax Tables'!$B$24+MIN(MAX(MAX(H195,0)-'Tax Tables'!$B$23,0),'Tax Tables'!$B$25)*'Tax Tables'!$B$26))*1-MIN('Tax Tables'!$B$22*(MAX(H195,0)-IF(Calculator!$B$10="Yes",MIN(MAX(H195,0),'Tax Tables'!$B$27)*'Tax Tables'!$B$28+MIN(MAX(MAX(H195,0)-'Tax Tables'!$B$27,0),'Tax Tables'!$B$29)*'Tax Tables'!$B$30,MIN(MAX(H195,0),'Tax Tables'!$B$23)*'Tax Tables'!$B$24+MIN(MAX(MAX(H195,0)-'Tax Tables'!$B$23,0),'Tax Tables'!$B$25)*'Tax Tables'!$B$26))*Calculator!$B$11,Calculator!$B$12)</f>
        <v>35105</v>
      </c>
      <c r="J195" s="11" t="n">
        <f aca="false">MAX(H195,0)-I195</f>
        <v>273895</v>
      </c>
      <c r="K195" s="11" t="n">
        <f aca="false">MIN(IF(A195&gt;0,Calculator!$B$13,0)+E195+Calculator!$B$14,'Tax Tables'!$B$36)</f>
        <v>1000</v>
      </c>
      <c r="L195" s="11" t="n">
        <f aca="false">MAX(A195-K195,0)</f>
        <v>90000</v>
      </c>
      <c r="M195" s="11" t="n">
        <f aca="false">SUMPRODUCT((L195&gt;'Tax Tables'!$A$5:$A$17)*(L195-'Tax Tables'!$A$5:$A$17)*'Tax Tables'!$C$5:$C$17)</f>
        <v>4500</v>
      </c>
      <c r="N195" s="11" t="n">
        <f aca="false">IF(H195&lt;0,-1E+099,A195-E195-M195+J195+(E195+F195)*Calculator!$B$9)</f>
        <v>360395</v>
      </c>
      <c r="O195" s="2"/>
      <c r="P195" s="11" t="n">
        <f aca="false">182*$B$3</f>
        <v>91000</v>
      </c>
      <c r="Q195" s="11" t="n">
        <f aca="false">MIN(P195,'Tax Tables'!$B$31*'Tax Tables'!$B$32)</f>
        <v>91000</v>
      </c>
      <c r="R195" s="11" t="n">
        <f aca="false">P195-Q195</f>
        <v>0</v>
      </c>
      <c r="S195" s="11" t="n">
        <f aca="false">IF(Calculator!$B$6="Yes",MIN(Q195,'Tax Tables'!$B$31*'Tax Tables'!$B$32),0)</f>
        <v>91000</v>
      </c>
      <c r="T195" s="11" t="n">
        <f aca="false">S195*Calculator!$B$7</f>
        <v>18200</v>
      </c>
      <c r="U195" s="11" t="n">
        <f aca="false">S195*Calculator!$B$8</f>
        <v>15470</v>
      </c>
      <c r="V195" s="11" t="n">
        <f aca="false">IF(Q195&gt;0,'Tax Tables'!$B$32*MIN(MAX(Q195/'Tax Tables'!$B$32*'Tax Tables'!$B$33,'Tax Tables'!$B$34),'Tax Tables'!$B$35),0)</f>
        <v>135</v>
      </c>
      <c r="W195" s="11" t="n">
        <f aca="false">Calculator!$B$5-P195-U195-V195</f>
        <v>293395</v>
      </c>
      <c r="X195" s="11" t="n">
        <f aca="false">'Tax Tables'!$B$22*(MAX(W195,0)-IF(Calculator!$B$10="Yes",MIN(MAX(W195,0),'Tax Tables'!$B$27)*'Tax Tables'!$B$28+MIN(MAX(MAX(W195,0)-'Tax Tables'!$B$27,0),'Tax Tables'!$B$29)*'Tax Tables'!$B$30,MIN(MAX(W195,0),'Tax Tables'!$B$23)*'Tax Tables'!$B$24+MIN(MAX(MAX(W195,0)-'Tax Tables'!$B$23,0),'Tax Tables'!$B$25)*'Tax Tables'!$B$26))*1-MIN('Tax Tables'!$B$22*(MAX(W195,0)-IF(Calculator!$B$10="Yes",MIN(MAX(W195,0),'Tax Tables'!$B$27)*'Tax Tables'!$B$28+MIN(MAX(MAX(W195,0)-'Tax Tables'!$B$27,0),'Tax Tables'!$B$29)*'Tax Tables'!$B$30,MIN(MAX(W195,0),'Tax Tables'!$B$23)*'Tax Tables'!$B$24+MIN(MAX(MAX(W195,0)-'Tax Tables'!$B$23,0),'Tax Tables'!$B$25)*'Tax Tables'!$B$26))*Calculator!$B$11,Calculator!$B$12)</f>
        <v>32452.15</v>
      </c>
      <c r="Y195" s="11" t="n">
        <f aca="false">MAX(W195,0)-X195</f>
        <v>260942.85</v>
      </c>
      <c r="Z195" s="11" t="n">
        <f aca="false">MIN(IF(P195&gt;0,Calculator!$B$13,0)+T195+Calculator!$B$14,'Tax Tables'!$B$36)</f>
        <v>19200</v>
      </c>
      <c r="AA195" s="11" t="n">
        <f aca="false">MAX(P195-Z195,0)</f>
        <v>71800</v>
      </c>
      <c r="AB195" s="11" t="n">
        <f aca="false">SUMPRODUCT((AA195&gt;'Tax Tables'!$A$5:$A$17)*(AA195-'Tax Tables'!$A$5:$A$17)*'Tax Tables'!$C$5:$C$17)</f>
        <v>2776</v>
      </c>
      <c r="AC195" s="11" t="n">
        <f aca="false">IF(W195&lt;0,-1E+099,P195-T195-AB195+Y195+(T195+U195)*Calculator!$B$9)</f>
        <v>364636.85</v>
      </c>
    </row>
    <row r="196" customFormat="false" ht="15" hidden="false" customHeight="false" outlineLevel="0" collapsed="false">
      <c r="A196" s="11" t="n">
        <f aca="false">183*$B$3</f>
        <v>91500</v>
      </c>
      <c r="B196" s="11" t="n">
        <f aca="false">0</f>
        <v>0</v>
      </c>
      <c r="C196" s="11" t="n">
        <f aca="false">A196-B196</f>
        <v>91500</v>
      </c>
      <c r="D196" s="11" t="n">
        <f aca="false">IF(Calculator!$B$6="Yes",MIN(B196,'Tax Tables'!$B$31*'Tax Tables'!$B$32),0)</f>
        <v>0</v>
      </c>
      <c r="E196" s="11" t="n">
        <f aca="false">D196*Calculator!$B$7</f>
        <v>0</v>
      </c>
      <c r="F196" s="11" t="n">
        <f aca="false">D196*Calculator!$B$8</f>
        <v>0</v>
      </c>
      <c r="G196" s="11" t="n">
        <f aca="false">IF(B196&gt;0,'Tax Tables'!$B$32*MIN(MAX(B196/'Tax Tables'!$B$32*'Tax Tables'!$B$33,'Tax Tables'!$B$34),'Tax Tables'!$B$35),0)</f>
        <v>0</v>
      </c>
      <c r="H196" s="11" t="n">
        <f aca="false">Calculator!$B$5-A196-F196-G196</f>
        <v>308500</v>
      </c>
      <c r="I196" s="11" t="n">
        <f aca="false">'Tax Tables'!$B$22*(MAX(H196,0)-IF(Calculator!$B$10="Yes",MIN(MAX(H196,0),'Tax Tables'!$B$27)*'Tax Tables'!$B$28+MIN(MAX(MAX(H196,0)-'Tax Tables'!$B$27,0),'Tax Tables'!$B$29)*'Tax Tables'!$B$30,MIN(MAX(H196,0),'Tax Tables'!$B$23)*'Tax Tables'!$B$24+MIN(MAX(MAX(H196,0)-'Tax Tables'!$B$23,0),'Tax Tables'!$B$25)*'Tax Tables'!$B$26))*1-MIN('Tax Tables'!$B$22*(MAX(H196,0)-IF(Calculator!$B$10="Yes",MIN(MAX(H196,0),'Tax Tables'!$B$27)*'Tax Tables'!$B$28+MIN(MAX(MAX(H196,0)-'Tax Tables'!$B$27,0),'Tax Tables'!$B$29)*'Tax Tables'!$B$30,MIN(MAX(H196,0),'Tax Tables'!$B$23)*'Tax Tables'!$B$24+MIN(MAX(MAX(H196,0)-'Tax Tables'!$B$23,0),'Tax Tables'!$B$25)*'Tax Tables'!$B$26))*Calculator!$B$11,Calculator!$B$12)</f>
        <v>35020</v>
      </c>
      <c r="J196" s="11" t="n">
        <f aca="false">MAX(H196,0)-I196</f>
        <v>273480</v>
      </c>
      <c r="K196" s="11" t="n">
        <f aca="false">MIN(IF(A196&gt;0,Calculator!$B$13,0)+E196+Calculator!$B$14,'Tax Tables'!$B$36)</f>
        <v>1000</v>
      </c>
      <c r="L196" s="11" t="n">
        <f aca="false">MAX(A196-K196,0)</f>
        <v>90500</v>
      </c>
      <c r="M196" s="11" t="n">
        <f aca="false">SUMPRODUCT((L196&gt;'Tax Tables'!$A$5:$A$17)*(L196-'Tax Tables'!$A$5:$A$17)*'Tax Tables'!$C$5:$C$17)</f>
        <v>4557.5</v>
      </c>
      <c r="N196" s="11" t="n">
        <f aca="false">IF(H196&lt;0,-1E+099,A196-E196-M196+J196+(E196+F196)*Calculator!$B$9)</f>
        <v>360422.5</v>
      </c>
      <c r="O196" s="2"/>
      <c r="P196" s="11" t="n">
        <f aca="false">183*$B$3</f>
        <v>91500</v>
      </c>
      <c r="Q196" s="11" t="n">
        <f aca="false">MIN(P196,'Tax Tables'!$B$31*'Tax Tables'!$B$32)</f>
        <v>91500</v>
      </c>
      <c r="R196" s="11" t="n">
        <f aca="false">P196-Q196</f>
        <v>0</v>
      </c>
      <c r="S196" s="11" t="n">
        <f aca="false">IF(Calculator!$B$6="Yes",MIN(Q196,'Tax Tables'!$B$31*'Tax Tables'!$B$32),0)</f>
        <v>91500</v>
      </c>
      <c r="T196" s="11" t="n">
        <f aca="false">S196*Calculator!$B$7</f>
        <v>18300</v>
      </c>
      <c r="U196" s="11" t="n">
        <f aca="false">S196*Calculator!$B$8</f>
        <v>15555</v>
      </c>
      <c r="V196" s="11" t="n">
        <f aca="false">IF(Q196&gt;0,'Tax Tables'!$B$32*MIN(MAX(Q196/'Tax Tables'!$B$32*'Tax Tables'!$B$33,'Tax Tables'!$B$34),'Tax Tables'!$B$35),0)</f>
        <v>135</v>
      </c>
      <c r="W196" s="11" t="n">
        <f aca="false">Calculator!$B$5-P196-U196-V196</f>
        <v>292810</v>
      </c>
      <c r="X196" s="11" t="n">
        <f aca="false">'Tax Tables'!$B$22*(MAX(W196,0)-IF(Calculator!$B$10="Yes",MIN(MAX(W196,0),'Tax Tables'!$B$27)*'Tax Tables'!$B$28+MIN(MAX(MAX(W196,0)-'Tax Tables'!$B$27,0),'Tax Tables'!$B$29)*'Tax Tables'!$B$30,MIN(MAX(W196,0),'Tax Tables'!$B$23)*'Tax Tables'!$B$24+MIN(MAX(MAX(W196,0)-'Tax Tables'!$B$23,0),'Tax Tables'!$B$25)*'Tax Tables'!$B$26))*1-MIN('Tax Tables'!$B$22*(MAX(W196,0)-IF(Calculator!$B$10="Yes",MIN(MAX(W196,0),'Tax Tables'!$B$27)*'Tax Tables'!$B$28+MIN(MAX(MAX(W196,0)-'Tax Tables'!$B$27,0),'Tax Tables'!$B$29)*'Tax Tables'!$B$30,MIN(MAX(W196,0),'Tax Tables'!$B$23)*'Tax Tables'!$B$24+MIN(MAX(MAX(W196,0)-'Tax Tables'!$B$23,0),'Tax Tables'!$B$25)*'Tax Tables'!$B$26))*Calculator!$B$11,Calculator!$B$12)</f>
        <v>32352.7</v>
      </c>
      <c r="Y196" s="11" t="n">
        <f aca="false">MAX(W196,0)-X196</f>
        <v>260457.3</v>
      </c>
      <c r="Z196" s="11" t="n">
        <f aca="false">MIN(IF(P196&gt;0,Calculator!$B$13,0)+T196+Calculator!$B$14,'Tax Tables'!$B$36)</f>
        <v>19300</v>
      </c>
      <c r="AA196" s="11" t="n">
        <f aca="false">MAX(P196-Z196,0)</f>
        <v>72200</v>
      </c>
      <c r="AB196" s="11" t="n">
        <f aca="false">SUMPRODUCT((AA196&gt;'Tax Tables'!$A$5:$A$17)*(AA196-'Tax Tables'!$A$5:$A$17)*'Tax Tables'!$C$5:$C$17)</f>
        <v>2804</v>
      </c>
      <c r="AC196" s="11" t="n">
        <f aca="false">IF(W196&lt;0,-1E+099,P196-T196-AB196+Y196+(T196+U196)*Calculator!$B$9)</f>
        <v>364708.3</v>
      </c>
    </row>
    <row r="197" customFormat="false" ht="15" hidden="false" customHeight="false" outlineLevel="0" collapsed="false">
      <c r="A197" s="11" t="n">
        <f aca="false">184*$B$3</f>
        <v>92000</v>
      </c>
      <c r="B197" s="11" t="n">
        <f aca="false">0</f>
        <v>0</v>
      </c>
      <c r="C197" s="11" t="n">
        <f aca="false">A197-B197</f>
        <v>92000</v>
      </c>
      <c r="D197" s="11" t="n">
        <f aca="false">IF(Calculator!$B$6="Yes",MIN(B197,'Tax Tables'!$B$31*'Tax Tables'!$B$32),0)</f>
        <v>0</v>
      </c>
      <c r="E197" s="11" t="n">
        <f aca="false">D197*Calculator!$B$7</f>
        <v>0</v>
      </c>
      <c r="F197" s="11" t="n">
        <f aca="false">D197*Calculator!$B$8</f>
        <v>0</v>
      </c>
      <c r="G197" s="11" t="n">
        <f aca="false">IF(B197&gt;0,'Tax Tables'!$B$32*MIN(MAX(B197/'Tax Tables'!$B$32*'Tax Tables'!$B$33,'Tax Tables'!$B$34),'Tax Tables'!$B$35),0)</f>
        <v>0</v>
      </c>
      <c r="H197" s="11" t="n">
        <f aca="false">Calculator!$B$5-A197-F197-G197</f>
        <v>308000</v>
      </c>
      <c r="I197" s="11" t="n">
        <f aca="false">'Tax Tables'!$B$22*(MAX(H197,0)-IF(Calculator!$B$10="Yes",MIN(MAX(H197,0),'Tax Tables'!$B$27)*'Tax Tables'!$B$28+MIN(MAX(MAX(H197,0)-'Tax Tables'!$B$27,0),'Tax Tables'!$B$29)*'Tax Tables'!$B$30,MIN(MAX(H197,0),'Tax Tables'!$B$23)*'Tax Tables'!$B$24+MIN(MAX(MAX(H197,0)-'Tax Tables'!$B$23,0),'Tax Tables'!$B$25)*'Tax Tables'!$B$26))*1-MIN('Tax Tables'!$B$22*(MAX(H197,0)-IF(Calculator!$B$10="Yes",MIN(MAX(H197,0),'Tax Tables'!$B$27)*'Tax Tables'!$B$28+MIN(MAX(MAX(H197,0)-'Tax Tables'!$B$27,0),'Tax Tables'!$B$29)*'Tax Tables'!$B$30,MIN(MAX(H197,0),'Tax Tables'!$B$23)*'Tax Tables'!$B$24+MIN(MAX(MAX(H197,0)-'Tax Tables'!$B$23,0),'Tax Tables'!$B$25)*'Tax Tables'!$B$26))*Calculator!$B$11,Calculator!$B$12)</f>
        <v>34935</v>
      </c>
      <c r="J197" s="11" t="n">
        <f aca="false">MAX(H197,0)-I197</f>
        <v>273065</v>
      </c>
      <c r="K197" s="11" t="n">
        <f aca="false">MIN(IF(A197&gt;0,Calculator!$B$13,0)+E197+Calculator!$B$14,'Tax Tables'!$B$36)</f>
        <v>1000</v>
      </c>
      <c r="L197" s="11" t="n">
        <f aca="false">MAX(A197-K197,0)</f>
        <v>91000</v>
      </c>
      <c r="M197" s="11" t="n">
        <f aca="false">SUMPRODUCT((L197&gt;'Tax Tables'!$A$5:$A$17)*(L197-'Tax Tables'!$A$5:$A$17)*'Tax Tables'!$C$5:$C$17)</f>
        <v>4615</v>
      </c>
      <c r="N197" s="11" t="n">
        <f aca="false">IF(H197&lt;0,-1E+099,A197-E197-M197+J197+(E197+F197)*Calculator!$B$9)</f>
        <v>360450</v>
      </c>
      <c r="O197" s="2"/>
      <c r="P197" s="11" t="n">
        <f aca="false">184*$B$3</f>
        <v>92000</v>
      </c>
      <c r="Q197" s="11" t="n">
        <f aca="false">MIN(P197,'Tax Tables'!$B$31*'Tax Tables'!$B$32)</f>
        <v>92000</v>
      </c>
      <c r="R197" s="11" t="n">
        <f aca="false">P197-Q197</f>
        <v>0</v>
      </c>
      <c r="S197" s="11" t="n">
        <f aca="false">IF(Calculator!$B$6="Yes",MIN(Q197,'Tax Tables'!$B$31*'Tax Tables'!$B$32),0)</f>
        <v>92000</v>
      </c>
      <c r="T197" s="11" t="n">
        <f aca="false">S197*Calculator!$B$7</f>
        <v>18400</v>
      </c>
      <c r="U197" s="11" t="n">
        <f aca="false">S197*Calculator!$B$8</f>
        <v>15640</v>
      </c>
      <c r="V197" s="11" t="n">
        <f aca="false">IF(Q197&gt;0,'Tax Tables'!$B$32*MIN(MAX(Q197/'Tax Tables'!$B$32*'Tax Tables'!$B$33,'Tax Tables'!$B$34),'Tax Tables'!$B$35),0)</f>
        <v>135</v>
      </c>
      <c r="W197" s="11" t="n">
        <f aca="false">Calculator!$B$5-P197-U197-V197</f>
        <v>292225</v>
      </c>
      <c r="X197" s="11" t="n">
        <f aca="false">'Tax Tables'!$B$22*(MAX(W197,0)-IF(Calculator!$B$10="Yes",MIN(MAX(W197,0),'Tax Tables'!$B$27)*'Tax Tables'!$B$28+MIN(MAX(MAX(W197,0)-'Tax Tables'!$B$27,0),'Tax Tables'!$B$29)*'Tax Tables'!$B$30,MIN(MAX(W197,0),'Tax Tables'!$B$23)*'Tax Tables'!$B$24+MIN(MAX(MAX(W197,0)-'Tax Tables'!$B$23,0),'Tax Tables'!$B$25)*'Tax Tables'!$B$26))*1-MIN('Tax Tables'!$B$22*(MAX(W197,0)-IF(Calculator!$B$10="Yes",MIN(MAX(W197,0),'Tax Tables'!$B$27)*'Tax Tables'!$B$28+MIN(MAX(MAX(W197,0)-'Tax Tables'!$B$27,0),'Tax Tables'!$B$29)*'Tax Tables'!$B$30,MIN(MAX(W197,0),'Tax Tables'!$B$23)*'Tax Tables'!$B$24+MIN(MAX(MAX(W197,0)-'Tax Tables'!$B$23,0),'Tax Tables'!$B$25)*'Tax Tables'!$B$26))*Calculator!$B$11,Calculator!$B$12)</f>
        <v>32253.25</v>
      </c>
      <c r="Y197" s="11" t="n">
        <f aca="false">MAX(W197,0)-X197</f>
        <v>259971.75</v>
      </c>
      <c r="Z197" s="11" t="n">
        <f aca="false">MIN(IF(P197&gt;0,Calculator!$B$13,0)+T197+Calculator!$B$14,'Tax Tables'!$B$36)</f>
        <v>19400</v>
      </c>
      <c r="AA197" s="11" t="n">
        <f aca="false">MAX(P197-Z197,0)</f>
        <v>72600</v>
      </c>
      <c r="AB197" s="11" t="n">
        <f aca="false">SUMPRODUCT((AA197&gt;'Tax Tables'!$A$5:$A$17)*(AA197-'Tax Tables'!$A$5:$A$17)*'Tax Tables'!$C$5:$C$17)</f>
        <v>2832</v>
      </c>
      <c r="AC197" s="11" t="n">
        <f aca="false">IF(W197&lt;0,-1E+099,P197-T197-AB197+Y197+(T197+U197)*Calculator!$B$9)</f>
        <v>364779.75</v>
      </c>
    </row>
    <row r="198" customFormat="false" ht="15" hidden="false" customHeight="false" outlineLevel="0" collapsed="false">
      <c r="A198" s="11" t="n">
        <f aca="false">185*$B$3</f>
        <v>92500</v>
      </c>
      <c r="B198" s="11" t="n">
        <f aca="false">0</f>
        <v>0</v>
      </c>
      <c r="C198" s="11" t="n">
        <f aca="false">A198-B198</f>
        <v>92500</v>
      </c>
      <c r="D198" s="11" t="n">
        <f aca="false">IF(Calculator!$B$6="Yes",MIN(B198,'Tax Tables'!$B$31*'Tax Tables'!$B$32),0)</f>
        <v>0</v>
      </c>
      <c r="E198" s="11" t="n">
        <f aca="false">D198*Calculator!$B$7</f>
        <v>0</v>
      </c>
      <c r="F198" s="11" t="n">
        <f aca="false">D198*Calculator!$B$8</f>
        <v>0</v>
      </c>
      <c r="G198" s="11" t="n">
        <f aca="false">IF(B198&gt;0,'Tax Tables'!$B$32*MIN(MAX(B198/'Tax Tables'!$B$32*'Tax Tables'!$B$33,'Tax Tables'!$B$34),'Tax Tables'!$B$35),0)</f>
        <v>0</v>
      </c>
      <c r="H198" s="11" t="n">
        <f aca="false">Calculator!$B$5-A198-F198-G198</f>
        <v>307500</v>
      </c>
      <c r="I198" s="11" t="n">
        <f aca="false">'Tax Tables'!$B$22*(MAX(H198,0)-IF(Calculator!$B$10="Yes",MIN(MAX(H198,0),'Tax Tables'!$B$27)*'Tax Tables'!$B$28+MIN(MAX(MAX(H198,0)-'Tax Tables'!$B$27,0),'Tax Tables'!$B$29)*'Tax Tables'!$B$30,MIN(MAX(H198,0),'Tax Tables'!$B$23)*'Tax Tables'!$B$24+MIN(MAX(MAX(H198,0)-'Tax Tables'!$B$23,0),'Tax Tables'!$B$25)*'Tax Tables'!$B$26))*1-MIN('Tax Tables'!$B$22*(MAX(H198,0)-IF(Calculator!$B$10="Yes",MIN(MAX(H198,0),'Tax Tables'!$B$27)*'Tax Tables'!$B$28+MIN(MAX(MAX(H198,0)-'Tax Tables'!$B$27,0),'Tax Tables'!$B$29)*'Tax Tables'!$B$30,MIN(MAX(H198,0),'Tax Tables'!$B$23)*'Tax Tables'!$B$24+MIN(MAX(MAX(H198,0)-'Tax Tables'!$B$23,0),'Tax Tables'!$B$25)*'Tax Tables'!$B$26))*Calculator!$B$11,Calculator!$B$12)</f>
        <v>34850</v>
      </c>
      <c r="J198" s="11" t="n">
        <f aca="false">MAX(H198,0)-I198</f>
        <v>272650</v>
      </c>
      <c r="K198" s="11" t="n">
        <f aca="false">MIN(IF(A198&gt;0,Calculator!$B$13,0)+E198+Calculator!$B$14,'Tax Tables'!$B$36)</f>
        <v>1000</v>
      </c>
      <c r="L198" s="11" t="n">
        <f aca="false">MAX(A198-K198,0)</f>
        <v>91500</v>
      </c>
      <c r="M198" s="11" t="n">
        <f aca="false">SUMPRODUCT((L198&gt;'Tax Tables'!$A$5:$A$17)*(L198-'Tax Tables'!$A$5:$A$17)*'Tax Tables'!$C$5:$C$17)</f>
        <v>4672.5</v>
      </c>
      <c r="N198" s="11" t="n">
        <f aca="false">IF(H198&lt;0,-1E+099,A198-E198-M198+J198+(E198+F198)*Calculator!$B$9)</f>
        <v>360477.5</v>
      </c>
      <c r="O198" s="2"/>
      <c r="P198" s="11" t="n">
        <f aca="false">185*$B$3</f>
        <v>92500</v>
      </c>
      <c r="Q198" s="11" t="n">
        <f aca="false">MIN(P198,'Tax Tables'!$B$31*'Tax Tables'!$B$32)</f>
        <v>92500</v>
      </c>
      <c r="R198" s="11" t="n">
        <f aca="false">P198-Q198</f>
        <v>0</v>
      </c>
      <c r="S198" s="11" t="n">
        <f aca="false">IF(Calculator!$B$6="Yes",MIN(Q198,'Tax Tables'!$B$31*'Tax Tables'!$B$32),0)</f>
        <v>92500</v>
      </c>
      <c r="T198" s="11" t="n">
        <f aca="false">S198*Calculator!$B$7</f>
        <v>18500</v>
      </c>
      <c r="U198" s="11" t="n">
        <f aca="false">S198*Calculator!$B$8</f>
        <v>15725</v>
      </c>
      <c r="V198" s="11" t="n">
        <f aca="false">IF(Q198&gt;0,'Tax Tables'!$B$32*MIN(MAX(Q198/'Tax Tables'!$B$32*'Tax Tables'!$B$33,'Tax Tables'!$B$34),'Tax Tables'!$B$35),0)</f>
        <v>135</v>
      </c>
      <c r="W198" s="11" t="n">
        <f aca="false">Calculator!$B$5-P198-U198-V198</f>
        <v>291640</v>
      </c>
      <c r="X198" s="11" t="n">
        <f aca="false">'Tax Tables'!$B$22*(MAX(W198,0)-IF(Calculator!$B$10="Yes",MIN(MAX(W198,0),'Tax Tables'!$B$27)*'Tax Tables'!$B$28+MIN(MAX(MAX(W198,0)-'Tax Tables'!$B$27,0),'Tax Tables'!$B$29)*'Tax Tables'!$B$30,MIN(MAX(W198,0),'Tax Tables'!$B$23)*'Tax Tables'!$B$24+MIN(MAX(MAX(W198,0)-'Tax Tables'!$B$23,0),'Tax Tables'!$B$25)*'Tax Tables'!$B$26))*1-MIN('Tax Tables'!$B$22*(MAX(W198,0)-IF(Calculator!$B$10="Yes",MIN(MAX(W198,0),'Tax Tables'!$B$27)*'Tax Tables'!$B$28+MIN(MAX(MAX(W198,0)-'Tax Tables'!$B$27,0),'Tax Tables'!$B$29)*'Tax Tables'!$B$30,MIN(MAX(W198,0),'Tax Tables'!$B$23)*'Tax Tables'!$B$24+MIN(MAX(MAX(W198,0)-'Tax Tables'!$B$23,0),'Tax Tables'!$B$25)*'Tax Tables'!$B$26))*Calculator!$B$11,Calculator!$B$12)</f>
        <v>32153.8</v>
      </c>
      <c r="Y198" s="11" t="n">
        <f aca="false">MAX(W198,0)-X198</f>
        <v>259486.2</v>
      </c>
      <c r="Z198" s="11" t="n">
        <f aca="false">MIN(IF(P198&gt;0,Calculator!$B$13,0)+T198+Calculator!$B$14,'Tax Tables'!$B$36)</f>
        <v>19500</v>
      </c>
      <c r="AA198" s="11" t="n">
        <f aca="false">MAX(P198-Z198,0)</f>
        <v>73000</v>
      </c>
      <c r="AB198" s="11" t="n">
        <f aca="false">SUMPRODUCT((AA198&gt;'Tax Tables'!$A$5:$A$17)*(AA198-'Tax Tables'!$A$5:$A$17)*'Tax Tables'!$C$5:$C$17)</f>
        <v>2860</v>
      </c>
      <c r="AC198" s="11" t="n">
        <f aca="false">IF(W198&lt;0,-1E+099,P198-T198-AB198+Y198+(T198+U198)*Calculator!$B$9)</f>
        <v>364851.2</v>
      </c>
    </row>
    <row r="199" customFormat="false" ht="15" hidden="false" customHeight="false" outlineLevel="0" collapsed="false">
      <c r="A199" s="11" t="n">
        <f aca="false">186*$B$3</f>
        <v>93000</v>
      </c>
      <c r="B199" s="11" t="n">
        <f aca="false">0</f>
        <v>0</v>
      </c>
      <c r="C199" s="11" t="n">
        <f aca="false">A199-B199</f>
        <v>93000</v>
      </c>
      <c r="D199" s="11" t="n">
        <f aca="false">IF(Calculator!$B$6="Yes",MIN(B199,'Tax Tables'!$B$31*'Tax Tables'!$B$32),0)</f>
        <v>0</v>
      </c>
      <c r="E199" s="11" t="n">
        <f aca="false">D199*Calculator!$B$7</f>
        <v>0</v>
      </c>
      <c r="F199" s="11" t="n">
        <f aca="false">D199*Calculator!$B$8</f>
        <v>0</v>
      </c>
      <c r="G199" s="11" t="n">
        <f aca="false">IF(B199&gt;0,'Tax Tables'!$B$32*MIN(MAX(B199/'Tax Tables'!$B$32*'Tax Tables'!$B$33,'Tax Tables'!$B$34),'Tax Tables'!$B$35),0)</f>
        <v>0</v>
      </c>
      <c r="H199" s="11" t="n">
        <f aca="false">Calculator!$B$5-A199-F199-G199</f>
        <v>307000</v>
      </c>
      <c r="I199" s="11" t="n">
        <f aca="false">'Tax Tables'!$B$22*(MAX(H199,0)-IF(Calculator!$B$10="Yes",MIN(MAX(H199,0),'Tax Tables'!$B$27)*'Tax Tables'!$B$28+MIN(MAX(MAX(H199,0)-'Tax Tables'!$B$27,0),'Tax Tables'!$B$29)*'Tax Tables'!$B$30,MIN(MAX(H199,0),'Tax Tables'!$B$23)*'Tax Tables'!$B$24+MIN(MAX(MAX(H199,0)-'Tax Tables'!$B$23,0),'Tax Tables'!$B$25)*'Tax Tables'!$B$26))*1-MIN('Tax Tables'!$B$22*(MAX(H199,0)-IF(Calculator!$B$10="Yes",MIN(MAX(H199,0),'Tax Tables'!$B$27)*'Tax Tables'!$B$28+MIN(MAX(MAX(H199,0)-'Tax Tables'!$B$27,0),'Tax Tables'!$B$29)*'Tax Tables'!$B$30,MIN(MAX(H199,0),'Tax Tables'!$B$23)*'Tax Tables'!$B$24+MIN(MAX(MAX(H199,0)-'Tax Tables'!$B$23,0),'Tax Tables'!$B$25)*'Tax Tables'!$B$26))*Calculator!$B$11,Calculator!$B$12)</f>
        <v>34765</v>
      </c>
      <c r="J199" s="11" t="n">
        <f aca="false">MAX(H199,0)-I199</f>
        <v>272235</v>
      </c>
      <c r="K199" s="11" t="n">
        <f aca="false">MIN(IF(A199&gt;0,Calculator!$B$13,0)+E199+Calculator!$B$14,'Tax Tables'!$B$36)</f>
        <v>1000</v>
      </c>
      <c r="L199" s="11" t="n">
        <f aca="false">MAX(A199-K199,0)</f>
        <v>92000</v>
      </c>
      <c r="M199" s="11" t="n">
        <f aca="false">SUMPRODUCT((L199&gt;'Tax Tables'!$A$5:$A$17)*(L199-'Tax Tables'!$A$5:$A$17)*'Tax Tables'!$C$5:$C$17)</f>
        <v>4730</v>
      </c>
      <c r="N199" s="11" t="n">
        <f aca="false">IF(H199&lt;0,-1E+099,A199-E199-M199+J199+(E199+F199)*Calculator!$B$9)</f>
        <v>360505</v>
      </c>
      <c r="O199" s="2"/>
      <c r="P199" s="11" t="n">
        <f aca="false">186*$B$3</f>
        <v>93000</v>
      </c>
      <c r="Q199" s="11" t="n">
        <f aca="false">MIN(P199,'Tax Tables'!$B$31*'Tax Tables'!$B$32)</f>
        <v>93000</v>
      </c>
      <c r="R199" s="11" t="n">
        <f aca="false">P199-Q199</f>
        <v>0</v>
      </c>
      <c r="S199" s="11" t="n">
        <f aca="false">IF(Calculator!$B$6="Yes",MIN(Q199,'Tax Tables'!$B$31*'Tax Tables'!$B$32),0)</f>
        <v>93000</v>
      </c>
      <c r="T199" s="11" t="n">
        <f aca="false">S199*Calculator!$B$7</f>
        <v>18600</v>
      </c>
      <c r="U199" s="11" t="n">
        <f aca="false">S199*Calculator!$B$8</f>
        <v>15810</v>
      </c>
      <c r="V199" s="11" t="n">
        <f aca="false">IF(Q199&gt;0,'Tax Tables'!$B$32*MIN(MAX(Q199/'Tax Tables'!$B$32*'Tax Tables'!$B$33,'Tax Tables'!$B$34),'Tax Tables'!$B$35),0)</f>
        <v>135</v>
      </c>
      <c r="W199" s="11" t="n">
        <f aca="false">Calculator!$B$5-P199-U199-V199</f>
        <v>291055</v>
      </c>
      <c r="X199" s="11" t="n">
        <f aca="false">'Tax Tables'!$B$22*(MAX(W199,0)-IF(Calculator!$B$10="Yes",MIN(MAX(W199,0),'Tax Tables'!$B$27)*'Tax Tables'!$B$28+MIN(MAX(MAX(W199,0)-'Tax Tables'!$B$27,0),'Tax Tables'!$B$29)*'Tax Tables'!$B$30,MIN(MAX(W199,0),'Tax Tables'!$B$23)*'Tax Tables'!$B$24+MIN(MAX(MAX(W199,0)-'Tax Tables'!$B$23,0),'Tax Tables'!$B$25)*'Tax Tables'!$B$26))*1-MIN('Tax Tables'!$B$22*(MAX(W199,0)-IF(Calculator!$B$10="Yes",MIN(MAX(W199,0),'Tax Tables'!$B$27)*'Tax Tables'!$B$28+MIN(MAX(MAX(W199,0)-'Tax Tables'!$B$27,0),'Tax Tables'!$B$29)*'Tax Tables'!$B$30,MIN(MAX(W199,0),'Tax Tables'!$B$23)*'Tax Tables'!$B$24+MIN(MAX(MAX(W199,0)-'Tax Tables'!$B$23,0),'Tax Tables'!$B$25)*'Tax Tables'!$B$26))*Calculator!$B$11,Calculator!$B$12)</f>
        <v>32054.35</v>
      </c>
      <c r="Y199" s="11" t="n">
        <f aca="false">MAX(W199,0)-X199</f>
        <v>259000.65</v>
      </c>
      <c r="Z199" s="11" t="n">
        <f aca="false">MIN(IF(P199&gt;0,Calculator!$B$13,0)+T199+Calculator!$B$14,'Tax Tables'!$B$36)</f>
        <v>19600</v>
      </c>
      <c r="AA199" s="11" t="n">
        <f aca="false">MAX(P199-Z199,0)</f>
        <v>73400</v>
      </c>
      <c r="AB199" s="11" t="n">
        <f aca="false">SUMPRODUCT((AA199&gt;'Tax Tables'!$A$5:$A$17)*(AA199-'Tax Tables'!$A$5:$A$17)*'Tax Tables'!$C$5:$C$17)</f>
        <v>2888</v>
      </c>
      <c r="AC199" s="11" t="n">
        <f aca="false">IF(W199&lt;0,-1E+099,P199-T199-AB199+Y199+(T199+U199)*Calculator!$B$9)</f>
        <v>364922.65</v>
      </c>
    </row>
    <row r="200" customFormat="false" ht="15" hidden="false" customHeight="false" outlineLevel="0" collapsed="false">
      <c r="A200" s="11" t="n">
        <f aca="false">187*$B$3</f>
        <v>93500</v>
      </c>
      <c r="B200" s="11" t="n">
        <f aca="false">0</f>
        <v>0</v>
      </c>
      <c r="C200" s="11" t="n">
        <f aca="false">A200-B200</f>
        <v>93500</v>
      </c>
      <c r="D200" s="11" t="n">
        <f aca="false">IF(Calculator!$B$6="Yes",MIN(B200,'Tax Tables'!$B$31*'Tax Tables'!$B$32),0)</f>
        <v>0</v>
      </c>
      <c r="E200" s="11" t="n">
        <f aca="false">D200*Calculator!$B$7</f>
        <v>0</v>
      </c>
      <c r="F200" s="11" t="n">
        <f aca="false">D200*Calculator!$B$8</f>
        <v>0</v>
      </c>
      <c r="G200" s="11" t="n">
        <f aca="false">IF(B200&gt;0,'Tax Tables'!$B$32*MIN(MAX(B200/'Tax Tables'!$B$32*'Tax Tables'!$B$33,'Tax Tables'!$B$34),'Tax Tables'!$B$35),0)</f>
        <v>0</v>
      </c>
      <c r="H200" s="11" t="n">
        <f aca="false">Calculator!$B$5-A200-F200-G200</f>
        <v>306500</v>
      </c>
      <c r="I200" s="11" t="n">
        <f aca="false">'Tax Tables'!$B$22*(MAX(H200,0)-IF(Calculator!$B$10="Yes",MIN(MAX(H200,0),'Tax Tables'!$B$27)*'Tax Tables'!$B$28+MIN(MAX(MAX(H200,0)-'Tax Tables'!$B$27,0),'Tax Tables'!$B$29)*'Tax Tables'!$B$30,MIN(MAX(H200,0),'Tax Tables'!$B$23)*'Tax Tables'!$B$24+MIN(MAX(MAX(H200,0)-'Tax Tables'!$B$23,0),'Tax Tables'!$B$25)*'Tax Tables'!$B$26))*1-MIN('Tax Tables'!$B$22*(MAX(H200,0)-IF(Calculator!$B$10="Yes",MIN(MAX(H200,0),'Tax Tables'!$B$27)*'Tax Tables'!$B$28+MIN(MAX(MAX(H200,0)-'Tax Tables'!$B$27,0),'Tax Tables'!$B$29)*'Tax Tables'!$B$30,MIN(MAX(H200,0),'Tax Tables'!$B$23)*'Tax Tables'!$B$24+MIN(MAX(MAX(H200,0)-'Tax Tables'!$B$23,0),'Tax Tables'!$B$25)*'Tax Tables'!$B$26))*Calculator!$B$11,Calculator!$B$12)</f>
        <v>34680</v>
      </c>
      <c r="J200" s="11" t="n">
        <f aca="false">MAX(H200,0)-I200</f>
        <v>271820</v>
      </c>
      <c r="K200" s="11" t="n">
        <f aca="false">MIN(IF(A200&gt;0,Calculator!$B$13,0)+E200+Calculator!$B$14,'Tax Tables'!$B$36)</f>
        <v>1000</v>
      </c>
      <c r="L200" s="11" t="n">
        <f aca="false">MAX(A200-K200,0)</f>
        <v>92500</v>
      </c>
      <c r="M200" s="11" t="n">
        <f aca="false">SUMPRODUCT((L200&gt;'Tax Tables'!$A$5:$A$17)*(L200-'Tax Tables'!$A$5:$A$17)*'Tax Tables'!$C$5:$C$17)</f>
        <v>4787.5</v>
      </c>
      <c r="N200" s="11" t="n">
        <f aca="false">IF(H200&lt;0,-1E+099,A200-E200-M200+J200+(E200+F200)*Calculator!$B$9)</f>
        <v>360532.5</v>
      </c>
      <c r="O200" s="2"/>
      <c r="P200" s="11" t="n">
        <f aca="false">187*$B$3</f>
        <v>93500</v>
      </c>
      <c r="Q200" s="11" t="n">
        <f aca="false">MIN(P200,'Tax Tables'!$B$31*'Tax Tables'!$B$32)</f>
        <v>93500</v>
      </c>
      <c r="R200" s="11" t="n">
        <f aca="false">P200-Q200</f>
        <v>0</v>
      </c>
      <c r="S200" s="11" t="n">
        <f aca="false">IF(Calculator!$B$6="Yes",MIN(Q200,'Tax Tables'!$B$31*'Tax Tables'!$B$32),0)</f>
        <v>93500</v>
      </c>
      <c r="T200" s="11" t="n">
        <f aca="false">S200*Calculator!$B$7</f>
        <v>18700</v>
      </c>
      <c r="U200" s="11" t="n">
        <f aca="false">S200*Calculator!$B$8</f>
        <v>15895</v>
      </c>
      <c r="V200" s="11" t="n">
        <f aca="false">IF(Q200&gt;0,'Tax Tables'!$B$32*MIN(MAX(Q200/'Tax Tables'!$B$32*'Tax Tables'!$B$33,'Tax Tables'!$B$34),'Tax Tables'!$B$35),0)</f>
        <v>135</v>
      </c>
      <c r="W200" s="11" t="n">
        <f aca="false">Calculator!$B$5-P200-U200-V200</f>
        <v>290470</v>
      </c>
      <c r="X200" s="11" t="n">
        <f aca="false">'Tax Tables'!$B$22*(MAX(W200,0)-IF(Calculator!$B$10="Yes",MIN(MAX(W200,0),'Tax Tables'!$B$27)*'Tax Tables'!$B$28+MIN(MAX(MAX(W200,0)-'Tax Tables'!$B$27,0),'Tax Tables'!$B$29)*'Tax Tables'!$B$30,MIN(MAX(W200,0),'Tax Tables'!$B$23)*'Tax Tables'!$B$24+MIN(MAX(MAX(W200,0)-'Tax Tables'!$B$23,0),'Tax Tables'!$B$25)*'Tax Tables'!$B$26))*1-MIN('Tax Tables'!$B$22*(MAX(W200,0)-IF(Calculator!$B$10="Yes",MIN(MAX(W200,0),'Tax Tables'!$B$27)*'Tax Tables'!$B$28+MIN(MAX(MAX(W200,0)-'Tax Tables'!$B$27,0),'Tax Tables'!$B$29)*'Tax Tables'!$B$30,MIN(MAX(W200,0),'Tax Tables'!$B$23)*'Tax Tables'!$B$24+MIN(MAX(MAX(W200,0)-'Tax Tables'!$B$23,0),'Tax Tables'!$B$25)*'Tax Tables'!$B$26))*Calculator!$B$11,Calculator!$B$12)</f>
        <v>31954.9</v>
      </c>
      <c r="Y200" s="11" t="n">
        <f aca="false">MAX(W200,0)-X200</f>
        <v>258515.1</v>
      </c>
      <c r="Z200" s="11" t="n">
        <f aca="false">MIN(IF(P200&gt;0,Calculator!$B$13,0)+T200+Calculator!$B$14,'Tax Tables'!$B$36)</f>
        <v>19700</v>
      </c>
      <c r="AA200" s="11" t="n">
        <f aca="false">MAX(P200-Z200,0)</f>
        <v>73800</v>
      </c>
      <c r="AB200" s="11" t="n">
        <f aca="false">SUMPRODUCT((AA200&gt;'Tax Tables'!$A$5:$A$17)*(AA200-'Tax Tables'!$A$5:$A$17)*'Tax Tables'!$C$5:$C$17)</f>
        <v>2916</v>
      </c>
      <c r="AC200" s="11" t="n">
        <f aca="false">IF(W200&lt;0,-1E+099,P200-T200-AB200+Y200+(T200+U200)*Calculator!$B$9)</f>
        <v>364994.1</v>
      </c>
    </row>
    <row r="201" customFormat="false" ht="15" hidden="false" customHeight="false" outlineLevel="0" collapsed="false">
      <c r="A201" s="11" t="n">
        <f aca="false">188*$B$3</f>
        <v>94000</v>
      </c>
      <c r="B201" s="11" t="n">
        <f aca="false">0</f>
        <v>0</v>
      </c>
      <c r="C201" s="11" t="n">
        <f aca="false">A201-B201</f>
        <v>94000</v>
      </c>
      <c r="D201" s="11" t="n">
        <f aca="false">IF(Calculator!$B$6="Yes",MIN(B201,'Tax Tables'!$B$31*'Tax Tables'!$B$32),0)</f>
        <v>0</v>
      </c>
      <c r="E201" s="11" t="n">
        <f aca="false">D201*Calculator!$B$7</f>
        <v>0</v>
      </c>
      <c r="F201" s="11" t="n">
        <f aca="false">D201*Calculator!$B$8</f>
        <v>0</v>
      </c>
      <c r="G201" s="11" t="n">
        <f aca="false">IF(B201&gt;0,'Tax Tables'!$B$32*MIN(MAX(B201/'Tax Tables'!$B$32*'Tax Tables'!$B$33,'Tax Tables'!$B$34),'Tax Tables'!$B$35),0)</f>
        <v>0</v>
      </c>
      <c r="H201" s="11" t="n">
        <f aca="false">Calculator!$B$5-A201-F201-G201</f>
        <v>306000</v>
      </c>
      <c r="I201" s="11" t="n">
        <f aca="false">'Tax Tables'!$B$22*(MAX(H201,0)-IF(Calculator!$B$10="Yes",MIN(MAX(H201,0),'Tax Tables'!$B$27)*'Tax Tables'!$B$28+MIN(MAX(MAX(H201,0)-'Tax Tables'!$B$27,0),'Tax Tables'!$B$29)*'Tax Tables'!$B$30,MIN(MAX(H201,0),'Tax Tables'!$B$23)*'Tax Tables'!$B$24+MIN(MAX(MAX(H201,0)-'Tax Tables'!$B$23,0),'Tax Tables'!$B$25)*'Tax Tables'!$B$26))*1-MIN('Tax Tables'!$B$22*(MAX(H201,0)-IF(Calculator!$B$10="Yes",MIN(MAX(H201,0),'Tax Tables'!$B$27)*'Tax Tables'!$B$28+MIN(MAX(MAX(H201,0)-'Tax Tables'!$B$27,0),'Tax Tables'!$B$29)*'Tax Tables'!$B$30,MIN(MAX(H201,0),'Tax Tables'!$B$23)*'Tax Tables'!$B$24+MIN(MAX(MAX(H201,0)-'Tax Tables'!$B$23,0),'Tax Tables'!$B$25)*'Tax Tables'!$B$26))*Calculator!$B$11,Calculator!$B$12)</f>
        <v>34595</v>
      </c>
      <c r="J201" s="11" t="n">
        <f aca="false">MAX(H201,0)-I201</f>
        <v>271405</v>
      </c>
      <c r="K201" s="11" t="n">
        <f aca="false">MIN(IF(A201&gt;0,Calculator!$B$13,0)+E201+Calculator!$B$14,'Tax Tables'!$B$36)</f>
        <v>1000</v>
      </c>
      <c r="L201" s="11" t="n">
        <f aca="false">MAX(A201-K201,0)</f>
        <v>93000</v>
      </c>
      <c r="M201" s="11" t="n">
        <f aca="false">SUMPRODUCT((L201&gt;'Tax Tables'!$A$5:$A$17)*(L201-'Tax Tables'!$A$5:$A$17)*'Tax Tables'!$C$5:$C$17)</f>
        <v>4845</v>
      </c>
      <c r="N201" s="11" t="n">
        <f aca="false">IF(H201&lt;0,-1E+099,A201-E201-M201+J201+(E201+F201)*Calculator!$B$9)</f>
        <v>360560</v>
      </c>
      <c r="O201" s="2"/>
      <c r="P201" s="11" t="n">
        <f aca="false">188*$B$3</f>
        <v>94000</v>
      </c>
      <c r="Q201" s="11" t="n">
        <f aca="false">MIN(P201,'Tax Tables'!$B$31*'Tax Tables'!$B$32)</f>
        <v>94000</v>
      </c>
      <c r="R201" s="11" t="n">
        <f aca="false">P201-Q201</f>
        <v>0</v>
      </c>
      <c r="S201" s="11" t="n">
        <f aca="false">IF(Calculator!$B$6="Yes",MIN(Q201,'Tax Tables'!$B$31*'Tax Tables'!$B$32),0)</f>
        <v>94000</v>
      </c>
      <c r="T201" s="11" t="n">
        <f aca="false">S201*Calculator!$B$7</f>
        <v>18800</v>
      </c>
      <c r="U201" s="11" t="n">
        <f aca="false">S201*Calculator!$B$8</f>
        <v>15980</v>
      </c>
      <c r="V201" s="11" t="n">
        <f aca="false">IF(Q201&gt;0,'Tax Tables'!$B$32*MIN(MAX(Q201/'Tax Tables'!$B$32*'Tax Tables'!$B$33,'Tax Tables'!$B$34),'Tax Tables'!$B$35),0)</f>
        <v>135</v>
      </c>
      <c r="W201" s="11" t="n">
        <f aca="false">Calculator!$B$5-P201-U201-V201</f>
        <v>289885</v>
      </c>
      <c r="X201" s="11" t="n">
        <f aca="false">'Tax Tables'!$B$22*(MAX(W201,0)-IF(Calculator!$B$10="Yes",MIN(MAX(W201,0),'Tax Tables'!$B$27)*'Tax Tables'!$B$28+MIN(MAX(MAX(W201,0)-'Tax Tables'!$B$27,0),'Tax Tables'!$B$29)*'Tax Tables'!$B$30,MIN(MAX(W201,0),'Tax Tables'!$B$23)*'Tax Tables'!$B$24+MIN(MAX(MAX(W201,0)-'Tax Tables'!$B$23,0),'Tax Tables'!$B$25)*'Tax Tables'!$B$26))*1-MIN('Tax Tables'!$B$22*(MAX(W201,0)-IF(Calculator!$B$10="Yes",MIN(MAX(W201,0),'Tax Tables'!$B$27)*'Tax Tables'!$B$28+MIN(MAX(MAX(W201,0)-'Tax Tables'!$B$27,0),'Tax Tables'!$B$29)*'Tax Tables'!$B$30,MIN(MAX(W201,0),'Tax Tables'!$B$23)*'Tax Tables'!$B$24+MIN(MAX(MAX(W201,0)-'Tax Tables'!$B$23,0),'Tax Tables'!$B$25)*'Tax Tables'!$B$26))*Calculator!$B$11,Calculator!$B$12)</f>
        <v>31855.45</v>
      </c>
      <c r="Y201" s="11" t="n">
        <f aca="false">MAX(W201,0)-X201</f>
        <v>258029.55</v>
      </c>
      <c r="Z201" s="11" t="n">
        <f aca="false">MIN(IF(P201&gt;0,Calculator!$B$13,0)+T201+Calculator!$B$14,'Tax Tables'!$B$36)</f>
        <v>19800</v>
      </c>
      <c r="AA201" s="11" t="n">
        <f aca="false">MAX(P201-Z201,0)</f>
        <v>74200</v>
      </c>
      <c r="AB201" s="11" t="n">
        <f aca="false">SUMPRODUCT((AA201&gt;'Tax Tables'!$A$5:$A$17)*(AA201-'Tax Tables'!$A$5:$A$17)*'Tax Tables'!$C$5:$C$17)</f>
        <v>2944</v>
      </c>
      <c r="AC201" s="11" t="n">
        <f aca="false">IF(W201&lt;0,-1E+099,P201-T201-AB201+Y201+(T201+U201)*Calculator!$B$9)</f>
        <v>365065.55</v>
      </c>
    </row>
    <row r="202" customFormat="false" ht="15" hidden="false" customHeight="false" outlineLevel="0" collapsed="false">
      <c r="A202" s="11" t="n">
        <f aca="false">189*$B$3</f>
        <v>94500</v>
      </c>
      <c r="B202" s="11" t="n">
        <f aca="false">0</f>
        <v>0</v>
      </c>
      <c r="C202" s="11" t="n">
        <f aca="false">A202-B202</f>
        <v>94500</v>
      </c>
      <c r="D202" s="11" t="n">
        <f aca="false">IF(Calculator!$B$6="Yes",MIN(B202,'Tax Tables'!$B$31*'Tax Tables'!$B$32),0)</f>
        <v>0</v>
      </c>
      <c r="E202" s="11" t="n">
        <f aca="false">D202*Calculator!$B$7</f>
        <v>0</v>
      </c>
      <c r="F202" s="11" t="n">
        <f aca="false">D202*Calculator!$B$8</f>
        <v>0</v>
      </c>
      <c r="G202" s="11" t="n">
        <f aca="false">IF(B202&gt;0,'Tax Tables'!$B$32*MIN(MAX(B202/'Tax Tables'!$B$32*'Tax Tables'!$B$33,'Tax Tables'!$B$34),'Tax Tables'!$B$35),0)</f>
        <v>0</v>
      </c>
      <c r="H202" s="11" t="n">
        <f aca="false">Calculator!$B$5-A202-F202-G202</f>
        <v>305500</v>
      </c>
      <c r="I202" s="11" t="n">
        <f aca="false">'Tax Tables'!$B$22*(MAX(H202,0)-IF(Calculator!$B$10="Yes",MIN(MAX(H202,0),'Tax Tables'!$B$27)*'Tax Tables'!$B$28+MIN(MAX(MAX(H202,0)-'Tax Tables'!$B$27,0),'Tax Tables'!$B$29)*'Tax Tables'!$B$30,MIN(MAX(H202,0),'Tax Tables'!$B$23)*'Tax Tables'!$B$24+MIN(MAX(MAX(H202,0)-'Tax Tables'!$B$23,0),'Tax Tables'!$B$25)*'Tax Tables'!$B$26))*1-MIN('Tax Tables'!$B$22*(MAX(H202,0)-IF(Calculator!$B$10="Yes",MIN(MAX(H202,0),'Tax Tables'!$B$27)*'Tax Tables'!$B$28+MIN(MAX(MAX(H202,0)-'Tax Tables'!$B$27,0),'Tax Tables'!$B$29)*'Tax Tables'!$B$30,MIN(MAX(H202,0),'Tax Tables'!$B$23)*'Tax Tables'!$B$24+MIN(MAX(MAX(H202,0)-'Tax Tables'!$B$23,0),'Tax Tables'!$B$25)*'Tax Tables'!$B$26))*Calculator!$B$11,Calculator!$B$12)</f>
        <v>34510</v>
      </c>
      <c r="J202" s="11" t="n">
        <f aca="false">MAX(H202,0)-I202</f>
        <v>270990</v>
      </c>
      <c r="K202" s="11" t="n">
        <f aca="false">MIN(IF(A202&gt;0,Calculator!$B$13,0)+E202+Calculator!$B$14,'Tax Tables'!$B$36)</f>
        <v>1000</v>
      </c>
      <c r="L202" s="11" t="n">
        <f aca="false">MAX(A202-K202,0)</f>
        <v>93500</v>
      </c>
      <c r="M202" s="11" t="n">
        <f aca="false">SUMPRODUCT((L202&gt;'Tax Tables'!$A$5:$A$17)*(L202-'Tax Tables'!$A$5:$A$17)*'Tax Tables'!$C$5:$C$17)</f>
        <v>4902.5</v>
      </c>
      <c r="N202" s="11" t="n">
        <f aca="false">IF(H202&lt;0,-1E+099,A202-E202-M202+J202+(E202+F202)*Calculator!$B$9)</f>
        <v>360587.5</v>
      </c>
      <c r="O202" s="2"/>
      <c r="P202" s="11" t="n">
        <f aca="false">189*$B$3</f>
        <v>94500</v>
      </c>
      <c r="Q202" s="11" t="n">
        <f aca="false">MIN(P202,'Tax Tables'!$B$31*'Tax Tables'!$B$32)</f>
        <v>94500</v>
      </c>
      <c r="R202" s="11" t="n">
        <f aca="false">P202-Q202</f>
        <v>0</v>
      </c>
      <c r="S202" s="11" t="n">
        <f aca="false">IF(Calculator!$B$6="Yes",MIN(Q202,'Tax Tables'!$B$31*'Tax Tables'!$B$32),0)</f>
        <v>94500</v>
      </c>
      <c r="T202" s="11" t="n">
        <f aca="false">S202*Calculator!$B$7</f>
        <v>18900</v>
      </c>
      <c r="U202" s="11" t="n">
        <f aca="false">S202*Calculator!$B$8</f>
        <v>16065</v>
      </c>
      <c r="V202" s="11" t="n">
        <f aca="false">IF(Q202&gt;0,'Tax Tables'!$B$32*MIN(MAX(Q202/'Tax Tables'!$B$32*'Tax Tables'!$B$33,'Tax Tables'!$B$34),'Tax Tables'!$B$35),0)</f>
        <v>135</v>
      </c>
      <c r="W202" s="11" t="n">
        <f aca="false">Calculator!$B$5-P202-U202-V202</f>
        <v>289300</v>
      </c>
      <c r="X202" s="11" t="n">
        <f aca="false">'Tax Tables'!$B$22*(MAX(W202,0)-IF(Calculator!$B$10="Yes",MIN(MAX(W202,0),'Tax Tables'!$B$27)*'Tax Tables'!$B$28+MIN(MAX(MAX(W202,0)-'Tax Tables'!$B$27,0),'Tax Tables'!$B$29)*'Tax Tables'!$B$30,MIN(MAX(W202,0),'Tax Tables'!$B$23)*'Tax Tables'!$B$24+MIN(MAX(MAX(W202,0)-'Tax Tables'!$B$23,0),'Tax Tables'!$B$25)*'Tax Tables'!$B$26))*1-MIN('Tax Tables'!$B$22*(MAX(W202,0)-IF(Calculator!$B$10="Yes",MIN(MAX(W202,0),'Tax Tables'!$B$27)*'Tax Tables'!$B$28+MIN(MAX(MAX(W202,0)-'Tax Tables'!$B$27,0),'Tax Tables'!$B$29)*'Tax Tables'!$B$30,MIN(MAX(W202,0),'Tax Tables'!$B$23)*'Tax Tables'!$B$24+MIN(MAX(MAX(W202,0)-'Tax Tables'!$B$23,0),'Tax Tables'!$B$25)*'Tax Tables'!$B$26))*Calculator!$B$11,Calculator!$B$12)</f>
        <v>31756</v>
      </c>
      <c r="Y202" s="11" t="n">
        <f aca="false">MAX(W202,0)-X202</f>
        <v>257544</v>
      </c>
      <c r="Z202" s="11" t="n">
        <f aca="false">MIN(IF(P202&gt;0,Calculator!$B$13,0)+T202+Calculator!$B$14,'Tax Tables'!$B$36)</f>
        <v>19900</v>
      </c>
      <c r="AA202" s="11" t="n">
        <f aca="false">MAX(P202-Z202,0)</f>
        <v>74600</v>
      </c>
      <c r="AB202" s="11" t="n">
        <f aca="false">SUMPRODUCT((AA202&gt;'Tax Tables'!$A$5:$A$17)*(AA202-'Tax Tables'!$A$5:$A$17)*'Tax Tables'!$C$5:$C$17)</f>
        <v>2972</v>
      </c>
      <c r="AC202" s="11" t="n">
        <f aca="false">IF(W202&lt;0,-1E+099,P202-T202-AB202+Y202+(T202+U202)*Calculator!$B$9)</f>
        <v>365137</v>
      </c>
    </row>
    <row r="203" customFormat="false" ht="15" hidden="false" customHeight="false" outlineLevel="0" collapsed="false">
      <c r="A203" s="11" t="n">
        <f aca="false">190*$B$3</f>
        <v>95000</v>
      </c>
      <c r="B203" s="11" t="n">
        <f aca="false">0</f>
        <v>0</v>
      </c>
      <c r="C203" s="11" t="n">
        <f aca="false">A203-B203</f>
        <v>95000</v>
      </c>
      <c r="D203" s="11" t="n">
        <f aca="false">IF(Calculator!$B$6="Yes",MIN(B203,'Tax Tables'!$B$31*'Tax Tables'!$B$32),0)</f>
        <v>0</v>
      </c>
      <c r="E203" s="11" t="n">
        <f aca="false">D203*Calculator!$B$7</f>
        <v>0</v>
      </c>
      <c r="F203" s="11" t="n">
        <f aca="false">D203*Calculator!$B$8</f>
        <v>0</v>
      </c>
      <c r="G203" s="11" t="n">
        <f aca="false">IF(B203&gt;0,'Tax Tables'!$B$32*MIN(MAX(B203/'Tax Tables'!$B$32*'Tax Tables'!$B$33,'Tax Tables'!$B$34),'Tax Tables'!$B$35),0)</f>
        <v>0</v>
      </c>
      <c r="H203" s="11" t="n">
        <f aca="false">Calculator!$B$5-A203-F203-G203</f>
        <v>305000</v>
      </c>
      <c r="I203" s="11" t="n">
        <f aca="false">'Tax Tables'!$B$22*(MAX(H203,0)-IF(Calculator!$B$10="Yes",MIN(MAX(H203,0),'Tax Tables'!$B$27)*'Tax Tables'!$B$28+MIN(MAX(MAX(H203,0)-'Tax Tables'!$B$27,0),'Tax Tables'!$B$29)*'Tax Tables'!$B$30,MIN(MAX(H203,0),'Tax Tables'!$B$23)*'Tax Tables'!$B$24+MIN(MAX(MAX(H203,0)-'Tax Tables'!$B$23,0),'Tax Tables'!$B$25)*'Tax Tables'!$B$26))*1-MIN('Tax Tables'!$B$22*(MAX(H203,0)-IF(Calculator!$B$10="Yes",MIN(MAX(H203,0),'Tax Tables'!$B$27)*'Tax Tables'!$B$28+MIN(MAX(MAX(H203,0)-'Tax Tables'!$B$27,0),'Tax Tables'!$B$29)*'Tax Tables'!$B$30,MIN(MAX(H203,0),'Tax Tables'!$B$23)*'Tax Tables'!$B$24+MIN(MAX(MAX(H203,0)-'Tax Tables'!$B$23,0),'Tax Tables'!$B$25)*'Tax Tables'!$B$26))*Calculator!$B$11,Calculator!$B$12)</f>
        <v>34425</v>
      </c>
      <c r="J203" s="11" t="n">
        <f aca="false">MAX(H203,0)-I203</f>
        <v>270575</v>
      </c>
      <c r="K203" s="11" t="n">
        <f aca="false">MIN(IF(A203&gt;0,Calculator!$B$13,0)+E203+Calculator!$B$14,'Tax Tables'!$B$36)</f>
        <v>1000</v>
      </c>
      <c r="L203" s="11" t="n">
        <f aca="false">MAX(A203-K203,0)</f>
        <v>94000</v>
      </c>
      <c r="M203" s="11" t="n">
        <f aca="false">SUMPRODUCT((L203&gt;'Tax Tables'!$A$5:$A$17)*(L203-'Tax Tables'!$A$5:$A$17)*'Tax Tables'!$C$5:$C$17)</f>
        <v>4960</v>
      </c>
      <c r="N203" s="11" t="n">
        <f aca="false">IF(H203&lt;0,-1E+099,A203-E203-M203+J203+(E203+F203)*Calculator!$B$9)</f>
        <v>360615</v>
      </c>
      <c r="O203" s="2"/>
      <c r="P203" s="11" t="n">
        <f aca="false">190*$B$3</f>
        <v>95000</v>
      </c>
      <c r="Q203" s="11" t="n">
        <f aca="false">MIN(P203,'Tax Tables'!$B$31*'Tax Tables'!$B$32)</f>
        <v>95000</v>
      </c>
      <c r="R203" s="11" t="n">
        <f aca="false">P203-Q203</f>
        <v>0</v>
      </c>
      <c r="S203" s="11" t="n">
        <f aca="false">IF(Calculator!$B$6="Yes",MIN(Q203,'Tax Tables'!$B$31*'Tax Tables'!$B$32),0)</f>
        <v>95000</v>
      </c>
      <c r="T203" s="11" t="n">
        <f aca="false">S203*Calculator!$B$7</f>
        <v>19000</v>
      </c>
      <c r="U203" s="11" t="n">
        <f aca="false">S203*Calculator!$B$8</f>
        <v>16150</v>
      </c>
      <c r="V203" s="11" t="n">
        <f aca="false">IF(Q203&gt;0,'Tax Tables'!$B$32*MIN(MAX(Q203/'Tax Tables'!$B$32*'Tax Tables'!$B$33,'Tax Tables'!$B$34),'Tax Tables'!$B$35),0)</f>
        <v>135</v>
      </c>
      <c r="W203" s="11" t="n">
        <f aca="false">Calculator!$B$5-P203-U203-V203</f>
        <v>288715</v>
      </c>
      <c r="X203" s="11" t="n">
        <f aca="false">'Tax Tables'!$B$22*(MAX(W203,0)-IF(Calculator!$B$10="Yes",MIN(MAX(W203,0),'Tax Tables'!$B$27)*'Tax Tables'!$B$28+MIN(MAX(MAX(W203,0)-'Tax Tables'!$B$27,0),'Tax Tables'!$B$29)*'Tax Tables'!$B$30,MIN(MAX(W203,0),'Tax Tables'!$B$23)*'Tax Tables'!$B$24+MIN(MAX(MAX(W203,0)-'Tax Tables'!$B$23,0),'Tax Tables'!$B$25)*'Tax Tables'!$B$26))*1-MIN('Tax Tables'!$B$22*(MAX(W203,0)-IF(Calculator!$B$10="Yes",MIN(MAX(W203,0),'Tax Tables'!$B$27)*'Tax Tables'!$B$28+MIN(MAX(MAX(W203,0)-'Tax Tables'!$B$27,0),'Tax Tables'!$B$29)*'Tax Tables'!$B$30,MIN(MAX(W203,0),'Tax Tables'!$B$23)*'Tax Tables'!$B$24+MIN(MAX(MAX(W203,0)-'Tax Tables'!$B$23,0),'Tax Tables'!$B$25)*'Tax Tables'!$B$26))*Calculator!$B$11,Calculator!$B$12)</f>
        <v>31656.55</v>
      </c>
      <c r="Y203" s="11" t="n">
        <f aca="false">MAX(W203,0)-X203</f>
        <v>257058.45</v>
      </c>
      <c r="Z203" s="11" t="n">
        <f aca="false">MIN(IF(P203&gt;0,Calculator!$B$13,0)+T203+Calculator!$B$14,'Tax Tables'!$B$36)</f>
        <v>20000</v>
      </c>
      <c r="AA203" s="11" t="n">
        <f aca="false">MAX(P203-Z203,0)</f>
        <v>75000</v>
      </c>
      <c r="AB203" s="11" t="n">
        <f aca="false">SUMPRODUCT((AA203&gt;'Tax Tables'!$A$5:$A$17)*(AA203-'Tax Tables'!$A$5:$A$17)*'Tax Tables'!$C$5:$C$17)</f>
        <v>3000</v>
      </c>
      <c r="AC203" s="11" t="n">
        <f aca="false">IF(W203&lt;0,-1E+099,P203-T203-AB203+Y203+(T203+U203)*Calculator!$B$9)</f>
        <v>365208.45</v>
      </c>
    </row>
    <row r="204" customFormat="false" ht="15" hidden="false" customHeight="false" outlineLevel="0" collapsed="false">
      <c r="A204" s="11" t="n">
        <f aca="false">191*$B$3</f>
        <v>95500</v>
      </c>
      <c r="B204" s="11" t="n">
        <f aca="false">0</f>
        <v>0</v>
      </c>
      <c r="C204" s="11" t="n">
        <f aca="false">A204-B204</f>
        <v>95500</v>
      </c>
      <c r="D204" s="11" t="n">
        <f aca="false">IF(Calculator!$B$6="Yes",MIN(B204,'Tax Tables'!$B$31*'Tax Tables'!$B$32),0)</f>
        <v>0</v>
      </c>
      <c r="E204" s="11" t="n">
        <f aca="false">D204*Calculator!$B$7</f>
        <v>0</v>
      </c>
      <c r="F204" s="11" t="n">
        <f aca="false">D204*Calculator!$B$8</f>
        <v>0</v>
      </c>
      <c r="G204" s="11" t="n">
        <f aca="false">IF(B204&gt;0,'Tax Tables'!$B$32*MIN(MAX(B204/'Tax Tables'!$B$32*'Tax Tables'!$B$33,'Tax Tables'!$B$34),'Tax Tables'!$B$35),0)</f>
        <v>0</v>
      </c>
      <c r="H204" s="11" t="n">
        <f aca="false">Calculator!$B$5-A204-F204-G204</f>
        <v>304500</v>
      </c>
      <c r="I204" s="11" t="n">
        <f aca="false">'Tax Tables'!$B$22*(MAX(H204,0)-IF(Calculator!$B$10="Yes",MIN(MAX(H204,0),'Tax Tables'!$B$27)*'Tax Tables'!$B$28+MIN(MAX(MAX(H204,0)-'Tax Tables'!$B$27,0),'Tax Tables'!$B$29)*'Tax Tables'!$B$30,MIN(MAX(H204,0),'Tax Tables'!$B$23)*'Tax Tables'!$B$24+MIN(MAX(MAX(H204,0)-'Tax Tables'!$B$23,0),'Tax Tables'!$B$25)*'Tax Tables'!$B$26))*1-MIN('Tax Tables'!$B$22*(MAX(H204,0)-IF(Calculator!$B$10="Yes",MIN(MAX(H204,0),'Tax Tables'!$B$27)*'Tax Tables'!$B$28+MIN(MAX(MAX(H204,0)-'Tax Tables'!$B$27,0),'Tax Tables'!$B$29)*'Tax Tables'!$B$30,MIN(MAX(H204,0),'Tax Tables'!$B$23)*'Tax Tables'!$B$24+MIN(MAX(MAX(H204,0)-'Tax Tables'!$B$23,0),'Tax Tables'!$B$25)*'Tax Tables'!$B$26))*Calculator!$B$11,Calculator!$B$12)</f>
        <v>34340</v>
      </c>
      <c r="J204" s="11" t="n">
        <f aca="false">MAX(H204,0)-I204</f>
        <v>270160</v>
      </c>
      <c r="K204" s="11" t="n">
        <f aca="false">MIN(IF(A204&gt;0,Calculator!$B$13,0)+E204+Calculator!$B$14,'Tax Tables'!$B$36)</f>
        <v>1000</v>
      </c>
      <c r="L204" s="11" t="n">
        <f aca="false">MAX(A204-K204,0)</f>
        <v>94500</v>
      </c>
      <c r="M204" s="11" t="n">
        <f aca="false">SUMPRODUCT((L204&gt;'Tax Tables'!$A$5:$A$17)*(L204-'Tax Tables'!$A$5:$A$17)*'Tax Tables'!$C$5:$C$17)</f>
        <v>5017.5</v>
      </c>
      <c r="N204" s="11" t="n">
        <f aca="false">IF(H204&lt;0,-1E+099,A204-E204-M204+J204+(E204+F204)*Calculator!$B$9)</f>
        <v>360642.5</v>
      </c>
      <c r="O204" s="2"/>
      <c r="P204" s="11" t="n">
        <f aca="false">191*$B$3</f>
        <v>95500</v>
      </c>
      <c r="Q204" s="11" t="n">
        <f aca="false">MIN(P204,'Tax Tables'!$B$31*'Tax Tables'!$B$32)</f>
        <v>95500</v>
      </c>
      <c r="R204" s="11" t="n">
        <f aca="false">P204-Q204</f>
        <v>0</v>
      </c>
      <c r="S204" s="11" t="n">
        <f aca="false">IF(Calculator!$B$6="Yes",MIN(Q204,'Tax Tables'!$B$31*'Tax Tables'!$B$32),0)</f>
        <v>95500</v>
      </c>
      <c r="T204" s="11" t="n">
        <f aca="false">S204*Calculator!$B$7</f>
        <v>19100</v>
      </c>
      <c r="U204" s="11" t="n">
        <f aca="false">S204*Calculator!$B$8</f>
        <v>16235</v>
      </c>
      <c r="V204" s="11" t="n">
        <f aca="false">IF(Q204&gt;0,'Tax Tables'!$B$32*MIN(MAX(Q204/'Tax Tables'!$B$32*'Tax Tables'!$B$33,'Tax Tables'!$B$34),'Tax Tables'!$B$35),0)</f>
        <v>135</v>
      </c>
      <c r="W204" s="11" t="n">
        <f aca="false">Calculator!$B$5-P204-U204-V204</f>
        <v>288130</v>
      </c>
      <c r="X204" s="11" t="n">
        <f aca="false">'Tax Tables'!$B$22*(MAX(W204,0)-IF(Calculator!$B$10="Yes",MIN(MAX(W204,0),'Tax Tables'!$B$27)*'Tax Tables'!$B$28+MIN(MAX(MAX(W204,0)-'Tax Tables'!$B$27,0),'Tax Tables'!$B$29)*'Tax Tables'!$B$30,MIN(MAX(W204,0),'Tax Tables'!$B$23)*'Tax Tables'!$B$24+MIN(MAX(MAX(W204,0)-'Tax Tables'!$B$23,0),'Tax Tables'!$B$25)*'Tax Tables'!$B$26))*1-MIN('Tax Tables'!$B$22*(MAX(W204,0)-IF(Calculator!$B$10="Yes",MIN(MAX(W204,0),'Tax Tables'!$B$27)*'Tax Tables'!$B$28+MIN(MAX(MAX(W204,0)-'Tax Tables'!$B$27,0),'Tax Tables'!$B$29)*'Tax Tables'!$B$30,MIN(MAX(W204,0),'Tax Tables'!$B$23)*'Tax Tables'!$B$24+MIN(MAX(MAX(W204,0)-'Tax Tables'!$B$23,0),'Tax Tables'!$B$25)*'Tax Tables'!$B$26))*Calculator!$B$11,Calculator!$B$12)</f>
        <v>31557.1</v>
      </c>
      <c r="Y204" s="11" t="n">
        <f aca="false">MAX(W204,0)-X204</f>
        <v>256572.9</v>
      </c>
      <c r="Z204" s="11" t="n">
        <f aca="false">MIN(IF(P204&gt;0,Calculator!$B$13,0)+T204+Calculator!$B$14,'Tax Tables'!$B$36)</f>
        <v>20100</v>
      </c>
      <c r="AA204" s="11" t="n">
        <f aca="false">MAX(P204-Z204,0)</f>
        <v>75400</v>
      </c>
      <c r="AB204" s="11" t="n">
        <f aca="false">SUMPRODUCT((AA204&gt;'Tax Tables'!$A$5:$A$17)*(AA204-'Tax Tables'!$A$5:$A$17)*'Tax Tables'!$C$5:$C$17)</f>
        <v>3028</v>
      </c>
      <c r="AC204" s="11" t="n">
        <f aca="false">IF(W204&lt;0,-1E+099,P204-T204-AB204+Y204+(T204+U204)*Calculator!$B$9)</f>
        <v>365279.9</v>
      </c>
    </row>
    <row r="205" customFormat="false" ht="15" hidden="false" customHeight="false" outlineLevel="0" collapsed="false">
      <c r="A205" s="11" t="n">
        <f aca="false">192*$B$3</f>
        <v>96000</v>
      </c>
      <c r="B205" s="11" t="n">
        <f aca="false">0</f>
        <v>0</v>
      </c>
      <c r="C205" s="11" t="n">
        <f aca="false">A205-B205</f>
        <v>96000</v>
      </c>
      <c r="D205" s="11" t="n">
        <f aca="false">IF(Calculator!$B$6="Yes",MIN(B205,'Tax Tables'!$B$31*'Tax Tables'!$B$32),0)</f>
        <v>0</v>
      </c>
      <c r="E205" s="11" t="n">
        <f aca="false">D205*Calculator!$B$7</f>
        <v>0</v>
      </c>
      <c r="F205" s="11" t="n">
        <f aca="false">D205*Calculator!$B$8</f>
        <v>0</v>
      </c>
      <c r="G205" s="11" t="n">
        <f aca="false">IF(B205&gt;0,'Tax Tables'!$B$32*MIN(MAX(B205/'Tax Tables'!$B$32*'Tax Tables'!$B$33,'Tax Tables'!$B$34),'Tax Tables'!$B$35),0)</f>
        <v>0</v>
      </c>
      <c r="H205" s="11" t="n">
        <f aca="false">Calculator!$B$5-A205-F205-G205</f>
        <v>304000</v>
      </c>
      <c r="I205" s="11" t="n">
        <f aca="false">'Tax Tables'!$B$22*(MAX(H205,0)-IF(Calculator!$B$10="Yes",MIN(MAX(H205,0),'Tax Tables'!$B$27)*'Tax Tables'!$B$28+MIN(MAX(MAX(H205,0)-'Tax Tables'!$B$27,0),'Tax Tables'!$B$29)*'Tax Tables'!$B$30,MIN(MAX(H205,0),'Tax Tables'!$B$23)*'Tax Tables'!$B$24+MIN(MAX(MAX(H205,0)-'Tax Tables'!$B$23,0),'Tax Tables'!$B$25)*'Tax Tables'!$B$26))*1-MIN('Tax Tables'!$B$22*(MAX(H205,0)-IF(Calculator!$B$10="Yes",MIN(MAX(H205,0),'Tax Tables'!$B$27)*'Tax Tables'!$B$28+MIN(MAX(MAX(H205,0)-'Tax Tables'!$B$27,0),'Tax Tables'!$B$29)*'Tax Tables'!$B$30,MIN(MAX(H205,0),'Tax Tables'!$B$23)*'Tax Tables'!$B$24+MIN(MAX(MAX(H205,0)-'Tax Tables'!$B$23,0),'Tax Tables'!$B$25)*'Tax Tables'!$B$26))*Calculator!$B$11,Calculator!$B$12)</f>
        <v>34255</v>
      </c>
      <c r="J205" s="11" t="n">
        <f aca="false">MAX(H205,0)-I205</f>
        <v>269745</v>
      </c>
      <c r="K205" s="11" t="n">
        <f aca="false">MIN(IF(A205&gt;0,Calculator!$B$13,0)+E205+Calculator!$B$14,'Tax Tables'!$B$36)</f>
        <v>1000</v>
      </c>
      <c r="L205" s="11" t="n">
        <f aca="false">MAX(A205-K205,0)</f>
        <v>95000</v>
      </c>
      <c r="M205" s="11" t="n">
        <f aca="false">SUMPRODUCT((L205&gt;'Tax Tables'!$A$5:$A$17)*(L205-'Tax Tables'!$A$5:$A$17)*'Tax Tables'!$C$5:$C$17)</f>
        <v>5075</v>
      </c>
      <c r="N205" s="11" t="n">
        <f aca="false">IF(H205&lt;0,-1E+099,A205-E205-M205+J205+(E205+F205)*Calculator!$B$9)</f>
        <v>360670</v>
      </c>
      <c r="O205" s="2"/>
      <c r="P205" s="11" t="n">
        <f aca="false">192*$B$3</f>
        <v>96000</v>
      </c>
      <c r="Q205" s="11" t="n">
        <f aca="false">MIN(P205,'Tax Tables'!$B$31*'Tax Tables'!$B$32)</f>
        <v>96000</v>
      </c>
      <c r="R205" s="11" t="n">
        <f aca="false">P205-Q205</f>
        <v>0</v>
      </c>
      <c r="S205" s="11" t="n">
        <f aca="false">IF(Calculator!$B$6="Yes",MIN(Q205,'Tax Tables'!$B$31*'Tax Tables'!$B$32),0)</f>
        <v>96000</v>
      </c>
      <c r="T205" s="11" t="n">
        <f aca="false">S205*Calculator!$B$7</f>
        <v>19200</v>
      </c>
      <c r="U205" s="11" t="n">
        <f aca="false">S205*Calculator!$B$8</f>
        <v>16320</v>
      </c>
      <c r="V205" s="11" t="n">
        <f aca="false">IF(Q205&gt;0,'Tax Tables'!$B$32*MIN(MAX(Q205/'Tax Tables'!$B$32*'Tax Tables'!$B$33,'Tax Tables'!$B$34),'Tax Tables'!$B$35),0)</f>
        <v>135</v>
      </c>
      <c r="W205" s="11" t="n">
        <f aca="false">Calculator!$B$5-P205-U205-V205</f>
        <v>287545</v>
      </c>
      <c r="X205" s="11" t="n">
        <f aca="false">'Tax Tables'!$B$22*(MAX(W205,0)-IF(Calculator!$B$10="Yes",MIN(MAX(W205,0),'Tax Tables'!$B$27)*'Tax Tables'!$B$28+MIN(MAX(MAX(W205,0)-'Tax Tables'!$B$27,0),'Tax Tables'!$B$29)*'Tax Tables'!$B$30,MIN(MAX(W205,0),'Tax Tables'!$B$23)*'Tax Tables'!$B$24+MIN(MAX(MAX(W205,0)-'Tax Tables'!$B$23,0),'Tax Tables'!$B$25)*'Tax Tables'!$B$26))*1-MIN('Tax Tables'!$B$22*(MAX(W205,0)-IF(Calculator!$B$10="Yes",MIN(MAX(W205,0),'Tax Tables'!$B$27)*'Tax Tables'!$B$28+MIN(MAX(MAX(W205,0)-'Tax Tables'!$B$27,0),'Tax Tables'!$B$29)*'Tax Tables'!$B$30,MIN(MAX(W205,0),'Tax Tables'!$B$23)*'Tax Tables'!$B$24+MIN(MAX(MAX(W205,0)-'Tax Tables'!$B$23,0),'Tax Tables'!$B$25)*'Tax Tables'!$B$26))*Calculator!$B$11,Calculator!$B$12)</f>
        <v>31457.65</v>
      </c>
      <c r="Y205" s="11" t="n">
        <f aca="false">MAX(W205,0)-X205</f>
        <v>256087.35</v>
      </c>
      <c r="Z205" s="11" t="n">
        <f aca="false">MIN(IF(P205&gt;0,Calculator!$B$13,0)+T205+Calculator!$B$14,'Tax Tables'!$B$36)</f>
        <v>20200</v>
      </c>
      <c r="AA205" s="11" t="n">
        <f aca="false">MAX(P205-Z205,0)</f>
        <v>75800</v>
      </c>
      <c r="AB205" s="11" t="n">
        <f aca="false">SUMPRODUCT((AA205&gt;'Tax Tables'!$A$5:$A$17)*(AA205-'Tax Tables'!$A$5:$A$17)*'Tax Tables'!$C$5:$C$17)</f>
        <v>3056</v>
      </c>
      <c r="AC205" s="11" t="n">
        <f aca="false">IF(W205&lt;0,-1E+099,P205-T205-AB205+Y205+(T205+U205)*Calculator!$B$9)</f>
        <v>365351.35</v>
      </c>
    </row>
    <row r="206" customFormat="false" ht="15" hidden="false" customHeight="false" outlineLevel="0" collapsed="false">
      <c r="A206" s="11" t="n">
        <f aca="false">193*$B$3</f>
        <v>96500</v>
      </c>
      <c r="B206" s="11" t="n">
        <f aca="false">0</f>
        <v>0</v>
      </c>
      <c r="C206" s="11" t="n">
        <f aca="false">A206-B206</f>
        <v>96500</v>
      </c>
      <c r="D206" s="11" t="n">
        <f aca="false">IF(Calculator!$B$6="Yes",MIN(B206,'Tax Tables'!$B$31*'Tax Tables'!$B$32),0)</f>
        <v>0</v>
      </c>
      <c r="E206" s="11" t="n">
        <f aca="false">D206*Calculator!$B$7</f>
        <v>0</v>
      </c>
      <c r="F206" s="11" t="n">
        <f aca="false">D206*Calculator!$B$8</f>
        <v>0</v>
      </c>
      <c r="G206" s="11" t="n">
        <f aca="false">IF(B206&gt;0,'Tax Tables'!$B$32*MIN(MAX(B206/'Tax Tables'!$B$32*'Tax Tables'!$B$33,'Tax Tables'!$B$34),'Tax Tables'!$B$35),0)</f>
        <v>0</v>
      </c>
      <c r="H206" s="11" t="n">
        <f aca="false">Calculator!$B$5-A206-F206-G206</f>
        <v>303500</v>
      </c>
      <c r="I206" s="11" t="n">
        <f aca="false">'Tax Tables'!$B$22*(MAX(H206,0)-IF(Calculator!$B$10="Yes",MIN(MAX(H206,0),'Tax Tables'!$B$27)*'Tax Tables'!$B$28+MIN(MAX(MAX(H206,0)-'Tax Tables'!$B$27,0),'Tax Tables'!$B$29)*'Tax Tables'!$B$30,MIN(MAX(H206,0),'Tax Tables'!$B$23)*'Tax Tables'!$B$24+MIN(MAX(MAX(H206,0)-'Tax Tables'!$B$23,0),'Tax Tables'!$B$25)*'Tax Tables'!$B$26))*1-MIN('Tax Tables'!$B$22*(MAX(H206,0)-IF(Calculator!$B$10="Yes",MIN(MAX(H206,0),'Tax Tables'!$B$27)*'Tax Tables'!$B$28+MIN(MAX(MAX(H206,0)-'Tax Tables'!$B$27,0),'Tax Tables'!$B$29)*'Tax Tables'!$B$30,MIN(MAX(H206,0),'Tax Tables'!$B$23)*'Tax Tables'!$B$24+MIN(MAX(MAX(H206,0)-'Tax Tables'!$B$23,0),'Tax Tables'!$B$25)*'Tax Tables'!$B$26))*Calculator!$B$11,Calculator!$B$12)</f>
        <v>34170</v>
      </c>
      <c r="J206" s="11" t="n">
        <f aca="false">MAX(H206,0)-I206</f>
        <v>269330</v>
      </c>
      <c r="K206" s="11" t="n">
        <f aca="false">MIN(IF(A206&gt;0,Calculator!$B$13,0)+E206+Calculator!$B$14,'Tax Tables'!$B$36)</f>
        <v>1000</v>
      </c>
      <c r="L206" s="11" t="n">
        <f aca="false">MAX(A206-K206,0)</f>
        <v>95500</v>
      </c>
      <c r="M206" s="11" t="n">
        <f aca="false">SUMPRODUCT((L206&gt;'Tax Tables'!$A$5:$A$17)*(L206-'Tax Tables'!$A$5:$A$17)*'Tax Tables'!$C$5:$C$17)</f>
        <v>5132.5</v>
      </c>
      <c r="N206" s="11" t="n">
        <f aca="false">IF(H206&lt;0,-1E+099,A206-E206-M206+J206+(E206+F206)*Calculator!$B$9)</f>
        <v>360697.5</v>
      </c>
      <c r="O206" s="2"/>
      <c r="P206" s="11" t="n">
        <f aca="false">193*$B$3</f>
        <v>96500</v>
      </c>
      <c r="Q206" s="11" t="n">
        <f aca="false">MIN(P206,'Tax Tables'!$B$31*'Tax Tables'!$B$32)</f>
        <v>96000</v>
      </c>
      <c r="R206" s="11" t="n">
        <f aca="false">P206-Q206</f>
        <v>500</v>
      </c>
      <c r="S206" s="11" t="n">
        <f aca="false">IF(Calculator!$B$6="Yes",MIN(Q206,'Tax Tables'!$B$31*'Tax Tables'!$B$32),0)</f>
        <v>96000</v>
      </c>
      <c r="T206" s="11" t="n">
        <f aca="false">S206*Calculator!$B$7</f>
        <v>19200</v>
      </c>
      <c r="U206" s="11" t="n">
        <f aca="false">S206*Calculator!$B$8</f>
        <v>16320</v>
      </c>
      <c r="V206" s="11" t="n">
        <f aca="false">IF(Q206&gt;0,'Tax Tables'!$B$32*MIN(MAX(Q206/'Tax Tables'!$B$32*'Tax Tables'!$B$33,'Tax Tables'!$B$34),'Tax Tables'!$B$35),0)</f>
        <v>135</v>
      </c>
      <c r="W206" s="11" t="n">
        <f aca="false">Calculator!$B$5-P206-U206-V206</f>
        <v>287045</v>
      </c>
      <c r="X206" s="11" t="n">
        <f aca="false">'Tax Tables'!$B$22*(MAX(W206,0)-IF(Calculator!$B$10="Yes",MIN(MAX(W206,0),'Tax Tables'!$B$27)*'Tax Tables'!$B$28+MIN(MAX(MAX(W206,0)-'Tax Tables'!$B$27,0),'Tax Tables'!$B$29)*'Tax Tables'!$B$30,MIN(MAX(W206,0),'Tax Tables'!$B$23)*'Tax Tables'!$B$24+MIN(MAX(MAX(W206,0)-'Tax Tables'!$B$23,0),'Tax Tables'!$B$25)*'Tax Tables'!$B$26))*1-MIN('Tax Tables'!$B$22*(MAX(W206,0)-IF(Calculator!$B$10="Yes",MIN(MAX(W206,0),'Tax Tables'!$B$27)*'Tax Tables'!$B$28+MIN(MAX(MAX(W206,0)-'Tax Tables'!$B$27,0),'Tax Tables'!$B$29)*'Tax Tables'!$B$30,MIN(MAX(W206,0),'Tax Tables'!$B$23)*'Tax Tables'!$B$24+MIN(MAX(MAX(W206,0)-'Tax Tables'!$B$23,0),'Tax Tables'!$B$25)*'Tax Tables'!$B$26))*Calculator!$B$11,Calculator!$B$12)</f>
        <v>31372.65</v>
      </c>
      <c r="Y206" s="11" t="n">
        <f aca="false">MAX(W206,0)-X206</f>
        <v>255672.35</v>
      </c>
      <c r="Z206" s="11" t="n">
        <f aca="false">MIN(IF(P206&gt;0,Calculator!$B$13,0)+T206+Calculator!$B$14,'Tax Tables'!$B$36)</f>
        <v>20200</v>
      </c>
      <c r="AA206" s="11" t="n">
        <f aca="false">MAX(P206-Z206,0)</f>
        <v>76300</v>
      </c>
      <c r="AB206" s="11" t="n">
        <f aca="false">SUMPRODUCT((AA206&gt;'Tax Tables'!$A$5:$A$17)*(AA206-'Tax Tables'!$A$5:$A$17)*'Tax Tables'!$C$5:$C$17)</f>
        <v>3091</v>
      </c>
      <c r="AC206" s="11" t="n">
        <f aca="false">IF(W206&lt;0,-1E+099,P206-T206-AB206+Y206+(T206+U206)*Calculator!$B$9)</f>
        <v>365401.35</v>
      </c>
    </row>
    <row r="207" customFormat="false" ht="15" hidden="false" customHeight="false" outlineLevel="0" collapsed="false">
      <c r="A207" s="11" t="n">
        <f aca="false">194*$B$3</f>
        <v>97000</v>
      </c>
      <c r="B207" s="11" t="n">
        <f aca="false">0</f>
        <v>0</v>
      </c>
      <c r="C207" s="11" t="n">
        <f aca="false">A207-B207</f>
        <v>97000</v>
      </c>
      <c r="D207" s="11" t="n">
        <f aca="false">IF(Calculator!$B$6="Yes",MIN(B207,'Tax Tables'!$B$31*'Tax Tables'!$B$32),0)</f>
        <v>0</v>
      </c>
      <c r="E207" s="11" t="n">
        <f aca="false">D207*Calculator!$B$7</f>
        <v>0</v>
      </c>
      <c r="F207" s="11" t="n">
        <f aca="false">D207*Calculator!$B$8</f>
        <v>0</v>
      </c>
      <c r="G207" s="11" t="n">
        <f aca="false">IF(B207&gt;0,'Tax Tables'!$B$32*MIN(MAX(B207/'Tax Tables'!$B$32*'Tax Tables'!$B$33,'Tax Tables'!$B$34),'Tax Tables'!$B$35),0)</f>
        <v>0</v>
      </c>
      <c r="H207" s="11" t="n">
        <f aca="false">Calculator!$B$5-A207-F207-G207</f>
        <v>303000</v>
      </c>
      <c r="I207" s="11" t="n">
        <f aca="false">'Tax Tables'!$B$22*(MAX(H207,0)-IF(Calculator!$B$10="Yes",MIN(MAX(H207,0),'Tax Tables'!$B$27)*'Tax Tables'!$B$28+MIN(MAX(MAX(H207,0)-'Tax Tables'!$B$27,0),'Tax Tables'!$B$29)*'Tax Tables'!$B$30,MIN(MAX(H207,0),'Tax Tables'!$B$23)*'Tax Tables'!$B$24+MIN(MAX(MAX(H207,0)-'Tax Tables'!$B$23,0),'Tax Tables'!$B$25)*'Tax Tables'!$B$26))*1-MIN('Tax Tables'!$B$22*(MAX(H207,0)-IF(Calculator!$B$10="Yes",MIN(MAX(H207,0),'Tax Tables'!$B$27)*'Tax Tables'!$B$28+MIN(MAX(MAX(H207,0)-'Tax Tables'!$B$27,0),'Tax Tables'!$B$29)*'Tax Tables'!$B$30,MIN(MAX(H207,0),'Tax Tables'!$B$23)*'Tax Tables'!$B$24+MIN(MAX(MAX(H207,0)-'Tax Tables'!$B$23,0),'Tax Tables'!$B$25)*'Tax Tables'!$B$26))*Calculator!$B$11,Calculator!$B$12)</f>
        <v>34085</v>
      </c>
      <c r="J207" s="11" t="n">
        <f aca="false">MAX(H207,0)-I207</f>
        <v>268915</v>
      </c>
      <c r="K207" s="11" t="n">
        <f aca="false">MIN(IF(A207&gt;0,Calculator!$B$13,0)+E207+Calculator!$B$14,'Tax Tables'!$B$36)</f>
        <v>1000</v>
      </c>
      <c r="L207" s="11" t="n">
        <f aca="false">MAX(A207-K207,0)</f>
        <v>96000</v>
      </c>
      <c r="M207" s="11" t="n">
        <f aca="false">SUMPRODUCT((L207&gt;'Tax Tables'!$A$5:$A$17)*(L207-'Tax Tables'!$A$5:$A$17)*'Tax Tables'!$C$5:$C$17)</f>
        <v>5190</v>
      </c>
      <c r="N207" s="11" t="n">
        <f aca="false">IF(H207&lt;0,-1E+099,A207-E207-M207+J207+(E207+F207)*Calculator!$B$9)</f>
        <v>360725</v>
      </c>
      <c r="O207" s="2"/>
      <c r="P207" s="11" t="n">
        <f aca="false">194*$B$3</f>
        <v>97000</v>
      </c>
      <c r="Q207" s="11" t="n">
        <f aca="false">MIN(P207,'Tax Tables'!$B$31*'Tax Tables'!$B$32)</f>
        <v>96000</v>
      </c>
      <c r="R207" s="11" t="n">
        <f aca="false">P207-Q207</f>
        <v>1000</v>
      </c>
      <c r="S207" s="11" t="n">
        <f aca="false">IF(Calculator!$B$6="Yes",MIN(Q207,'Tax Tables'!$B$31*'Tax Tables'!$B$32),0)</f>
        <v>96000</v>
      </c>
      <c r="T207" s="11" t="n">
        <f aca="false">S207*Calculator!$B$7</f>
        <v>19200</v>
      </c>
      <c r="U207" s="11" t="n">
        <f aca="false">S207*Calculator!$B$8</f>
        <v>16320</v>
      </c>
      <c r="V207" s="11" t="n">
        <f aca="false">IF(Q207&gt;0,'Tax Tables'!$B$32*MIN(MAX(Q207/'Tax Tables'!$B$32*'Tax Tables'!$B$33,'Tax Tables'!$B$34),'Tax Tables'!$B$35),0)</f>
        <v>135</v>
      </c>
      <c r="W207" s="11" t="n">
        <f aca="false">Calculator!$B$5-P207-U207-V207</f>
        <v>286545</v>
      </c>
      <c r="X207" s="11" t="n">
        <f aca="false">'Tax Tables'!$B$22*(MAX(W207,0)-IF(Calculator!$B$10="Yes",MIN(MAX(W207,0),'Tax Tables'!$B$27)*'Tax Tables'!$B$28+MIN(MAX(MAX(W207,0)-'Tax Tables'!$B$27,0),'Tax Tables'!$B$29)*'Tax Tables'!$B$30,MIN(MAX(W207,0),'Tax Tables'!$B$23)*'Tax Tables'!$B$24+MIN(MAX(MAX(W207,0)-'Tax Tables'!$B$23,0),'Tax Tables'!$B$25)*'Tax Tables'!$B$26))*1-MIN('Tax Tables'!$B$22*(MAX(W207,0)-IF(Calculator!$B$10="Yes",MIN(MAX(W207,0),'Tax Tables'!$B$27)*'Tax Tables'!$B$28+MIN(MAX(MAX(W207,0)-'Tax Tables'!$B$27,0),'Tax Tables'!$B$29)*'Tax Tables'!$B$30,MIN(MAX(W207,0),'Tax Tables'!$B$23)*'Tax Tables'!$B$24+MIN(MAX(MAX(W207,0)-'Tax Tables'!$B$23,0),'Tax Tables'!$B$25)*'Tax Tables'!$B$26))*Calculator!$B$11,Calculator!$B$12)</f>
        <v>31287.65</v>
      </c>
      <c r="Y207" s="11" t="n">
        <f aca="false">MAX(W207,0)-X207</f>
        <v>255257.35</v>
      </c>
      <c r="Z207" s="11" t="n">
        <f aca="false">MIN(IF(P207&gt;0,Calculator!$B$13,0)+T207+Calculator!$B$14,'Tax Tables'!$B$36)</f>
        <v>20200</v>
      </c>
      <c r="AA207" s="11" t="n">
        <f aca="false">MAX(P207-Z207,0)</f>
        <v>76800</v>
      </c>
      <c r="AB207" s="11" t="n">
        <f aca="false">SUMPRODUCT((AA207&gt;'Tax Tables'!$A$5:$A$17)*(AA207-'Tax Tables'!$A$5:$A$17)*'Tax Tables'!$C$5:$C$17)</f>
        <v>3126</v>
      </c>
      <c r="AC207" s="11" t="n">
        <f aca="false">IF(W207&lt;0,-1E+099,P207-T207-AB207+Y207+(T207+U207)*Calculator!$B$9)</f>
        <v>365451.35</v>
      </c>
    </row>
    <row r="208" customFormat="false" ht="15" hidden="false" customHeight="false" outlineLevel="0" collapsed="false">
      <c r="A208" s="11" t="n">
        <f aca="false">195*$B$3</f>
        <v>97500</v>
      </c>
      <c r="B208" s="11" t="n">
        <f aca="false">0</f>
        <v>0</v>
      </c>
      <c r="C208" s="11" t="n">
        <f aca="false">A208-B208</f>
        <v>97500</v>
      </c>
      <c r="D208" s="11" t="n">
        <f aca="false">IF(Calculator!$B$6="Yes",MIN(B208,'Tax Tables'!$B$31*'Tax Tables'!$B$32),0)</f>
        <v>0</v>
      </c>
      <c r="E208" s="11" t="n">
        <f aca="false">D208*Calculator!$B$7</f>
        <v>0</v>
      </c>
      <c r="F208" s="11" t="n">
        <f aca="false">D208*Calculator!$B$8</f>
        <v>0</v>
      </c>
      <c r="G208" s="11" t="n">
        <f aca="false">IF(B208&gt;0,'Tax Tables'!$B$32*MIN(MAX(B208/'Tax Tables'!$B$32*'Tax Tables'!$B$33,'Tax Tables'!$B$34),'Tax Tables'!$B$35),0)</f>
        <v>0</v>
      </c>
      <c r="H208" s="11" t="n">
        <f aca="false">Calculator!$B$5-A208-F208-G208</f>
        <v>302500</v>
      </c>
      <c r="I208" s="11" t="n">
        <f aca="false">'Tax Tables'!$B$22*(MAX(H208,0)-IF(Calculator!$B$10="Yes",MIN(MAX(H208,0),'Tax Tables'!$B$27)*'Tax Tables'!$B$28+MIN(MAX(MAX(H208,0)-'Tax Tables'!$B$27,0),'Tax Tables'!$B$29)*'Tax Tables'!$B$30,MIN(MAX(H208,0),'Tax Tables'!$B$23)*'Tax Tables'!$B$24+MIN(MAX(MAX(H208,0)-'Tax Tables'!$B$23,0),'Tax Tables'!$B$25)*'Tax Tables'!$B$26))*1-MIN('Tax Tables'!$B$22*(MAX(H208,0)-IF(Calculator!$B$10="Yes",MIN(MAX(H208,0),'Tax Tables'!$B$27)*'Tax Tables'!$B$28+MIN(MAX(MAX(H208,0)-'Tax Tables'!$B$27,0),'Tax Tables'!$B$29)*'Tax Tables'!$B$30,MIN(MAX(H208,0),'Tax Tables'!$B$23)*'Tax Tables'!$B$24+MIN(MAX(MAX(H208,0)-'Tax Tables'!$B$23,0),'Tax Tables'!$B$25)*'Tax Tables'!$B$26))*Calculator!$B$11,Calculator!$B$12)</f>
        <v>34000</v>
      </c>
      <c r="J208" s="11" t="n">
        <f aca="false">MAX(H208,0)-I208</f>
        <v>268500</v>
      </c>
      <c r="K208" s="11" t="n">
        <f aca="false">MIN(IF(A208&gt;0,Calculator!$B$13,0)+E208+Calculator!$B$14,'Tax Tables'!$B$36)</f>
        <v>1000</v>
      </c>
      <c r="L208" s="11" t="n">
        <f aca="false">MAX(A208-K208,0)</f>
        <v>96500</v>
      </c>
      <c r="M208" s="11" t="n">
        <f aca="false">SUMPRODUCT((L208&gt;'Tax Tables'!$A$5:$A$17)*(L208-'Tax Tables'!$A$5:$A$17)*'Tax Tables'!$C$5:$C$17)</f>
        <v>5247.5</v>
      </c>
      <c r="N208" s="11" t="n">
        <f aca="false">IF(H208&lt;0,-1E+099,A208-E208-M208+J208+(E208+F208)*Calculator!$B$9)</f>
        <v>360752.5</v>
      </c>
      <c r="O208" s="2"/>
      <c r="P208" s="11" t="n">
        <f aca="false">195*$B$3</f>
        <v>97500</v>
      </c>
      <c r="Q208" s="11" t="n">
        <f aca="false">MIN(P208,'Tax Tables'!$B$31*'Tax Tables'!$B$32)</f>
        <v>96000</v>
      </c>
      <c r="R208" s="11" t="n">
        <f aca="false">P208-Q208</f>
        <v>1500</v>
      </c>
      <c r="S208" s="11" t="n">
        <f aca="false">IF(Calculator!$B$6="Yes",MIN(Q208,'Tax Tables'!$B$31*'Tax Tables'!$B$32),0)</f>
        <v>96000</v>
      </c>
      <c r="T208" s="11" t="n">
        <f aca="false">S208*Calculator!$B$7</f>
        <v>19200</v>
      </c>
      <c r="U208" s="11" t="n">
        <f aca="false">S208*Calculator!$B$8</f>
        <v>16320</v>
      </c>
      <c r="V208" s="11" t="n">
        <f aca="false">IF(Q208&gt;0,'Tax Tables'!$B$32*MIN(MAX(Q208/'Tax Tables'!$B$32*'Tax Tables'!$B$33,'Tax Tables'!$B$34),'Tax Tables'!$B$35),0)</f>
        <v>135</v>
      </c>
      <c r="W208" s="11" t="n">
        <f aca="false">Calculator!$B$5-P208-U208-V208</f>
        <v>286045</v>
      </c>
      <c r="X208" s="11" t="n">
        <f aca="false">'Tax Tables'!$B$22*(MAX(W208,0)-IF(Calculator!$B$10="Yes",MIN(MAX(W208,0),'Tax Tables'!$B$27)*'Tax Tables'!$B$28+MIN(MAX(MAX(W208,0)-'Tax Tables'!$B$27,0),'Tax Tables'!$B$29)*'Tax Tables'!$B$30,MIN(MAX(W208,0),'Tax Tables'!$B$23)*'Tax Tables'!$B$24+MIN(MAX(MAX(W208,0)-'Tax Tables'!$B$23,0),'Tax Tables'!$B$25)*'Tax Tables'!$B$26))*1-MIN('Tax Tables'!$B$22*(MAX(W208,0)-IF(Calculator!$B$10="Yes",MIN(MAX(W208,0),'Tax Tables'!$B$27)*'Tax Tables'!$B$28+MIN(MAX(MAX(W208,0)-'Tax Tables'!$B$27,0),'Tax Tables'!$B$29)*'Tax Tables'!$B$30,MIN(MAX(W208,0),'Tax Tables'!$B$23)*'Tax Tables'!$B$24+MIN(MAX(MAX(W208,0)-'Tax Tables'!$B$23,0),'Tax Tables'!$B$25)*'Tax Tables'!$B$26))*Calculator!$B$11,Calculator!$B$12)</f>
        <v>31202.65</v>
      </c>
      <c r="Y208" s="11" t="n">
        <f aca="false">MAX(W208,0)-X208</f>
        <v>254842.35</v>
      </c>
      <c r="Z208" s="11" t="n">
        <f aca="false">MIN(IF(P208&gt;0,Calculator!$B$13,0)+T208+Calculator!$B$14,'Tax Tables'!$B$36)</f>
        <v>20200</v>
      </c>
      <c r="AA208" s="11" t="n">
        <f aca="false">MAX(P208-Z208,0)</f>
        <v>77300</v>
      </c>
      <c r="AB208" s="11" t="n">
        <f aca="false">SUMPRODUCT((AA208&gt;'Tax Tables'!$A$5:$A$17)*(AA208-'Tax Tables'!$A$5:$A$17)*'Tax Tables'!$C$5:$C$17)</f>
        <v>3161</v>
      </c>
      <c r="AC208" s="11" t="n">
        <f aca="false">IF(W208&lt;0,-1E+099,P208-T208-AB208+Y208+(T208+U208)*Calculator!$B$9)</f>
        <v>365501.35</v>
      </c>
    </row>
    <row r="209" customFormat="false" ht="15" hidden="false" customHeight="false" outlineLevel="0" collapsed="false">
      <c r="A209" s="11" t="n">
        <f aca="false">196*$B$3</f>
        <v>98000</v>
      </c>
      <c r="B209" s="11" t="n">
        <f aca="false">0</f>
        <v>0</v>
      </c>
      <c r="C209" s="11" t="n">
        <f aca="false">A209-B209</f>
        <v>98000</v>
      </c>
      <c r="D209" s="11" t="n">
        <f aca="false">IF(Calculator!$B$6="Yes",MIN(B209,'Tax Tables'!$B$31*'Tax Tables'!$B$32),0)</f>
        <v>0</v>
      </c>
      <c r="E209" s="11" t="n">
        <f aca="false">D209*Calculator!$B$7</f>
        <v>0</v>
      </c>
      <c r="F209" s="11" t="n">
        <f aca="false">D209*Calculator!$B$8</f>
        <v>0</v>
      </c>
      <c r="G209" s="11" t="n">
        <f aca="false">IF(B209&gt;0,'Tax Tables'!$B$32*MIN(MAX(B209/'Tax Tables'!$B$32*'Tax Tables'!$B$33,'Tax Tables'!$B$34),'Tax Tables'!$B$35),0)</f>
        <v>0</v>
      </c>
      <c r="H209" s="11" t="n">
        <f aca="false">Calculator!$B$5-A209-F209-G209</f>
        <v>302000</v>
      </c>
      <c r="I209" s="11" t="n">
        <f aca="false">'Tax Tables'!$B$22*(MAX(H209,0)-IF(Calculator!$B$10="Yes",MIN(MAX(H209,0),'Tax Tables'!$B$27)*'Tax Tables'!$B$28+MIN(MAX(MAX(H209,0)-'Tax Tables'!$B$27,0),'Tax Tables'!$B$29)*'Tax Tables'!$B$30,MIN(MAX(H209,0),'Tax Tables'!$B$23)*'Tax Tables'!$B$24+MIN(MAX(MAX(H209,0)-'Tax Tables'!$B$23,0),'Tax Tables'!$B$25)*'Tax Tables'!$B$26))*1-MIN('Tax Tables'!$B$22*(MAX(H209,0)-IF(Calculator!$B$10="Yes",MIN(MAX(H209,0),'Tax Tables'!$B$27)*'Tax Tables'!$B$28+MIN(MAX(MAX(H209,0)-'Tax Tables'!$B$27,0),'Tax Tables'!$B$29)*'Tax Tables'!$B$30,MIN(MAX(H209,0),'Tax Tables'!$B$23)*'Tax Tables'!$B$24+MIN(MAX(MAX(H209,0)-'Tax Tables'!$B$23,0),'Tax Tables'!$B$25)*'Tax Tables'!$B$26))*Calculator!$B$11,Calculator!$B$12)</f>
        <v>33915</v>
      </c>
      <c r="J209" s="11" t="n">
        <f aca="false">MAX(H209,0)-I209</f>
        <v>268085</v>
      </c>
      <c r="K209" s="11" t="n">
        <f aca="false">MIN(IF(A209&gt;0,Calculator!$B$13,0)+E209+Calculator!$B$14,'Tax Tables'!$B$36)</f>
        <v>1000</v>
      </c>
      <c r="L209" s="11" t="n">
        <f aca="false">MAX(A209-K209,0)</f>
        <v>97000</v>
      </c>
      <c r="M209" s="11" t="n">
        <f aca="false">SUMPRODUCT((L209&gt;'Tax Tables'!$A$5:$A$17)*(L209-'Tax Tables'!$A$5:$A$17)*'Tax Tables'!$C$5:$C$17)</f>
        <v>5305</v>
      </c>
      <c r="N209" s="11" t="n">
        <f aca="false">IF(H209&lt;0,-1E+099,A209-E209-M209+J209+(E209+F209)*Calculator!$B$9)</f>
        <v>360780</v>
      </c>
      <c r="O209" s="2"/>
      <c r="P209" s="11" t="n">
        <f aca="false">196*$B$3</f>
        <v>98000</v>
      </c>
      <c r="Q209" s="11" t="n">
        <f aca="false">MIN(P209,'Tax Tables'!$B$31*'Tax Tables'!$B$32)</f>
        <v>96000</v>
      </c>
      <c r="R209" s="11" t="n">
        <f aca="false">P209-Q209</f>
        <v>2000</v>
      </c>
      <c r="S209" s="11" t="n">
        <f aca="false">IF(Calculator!$B$6="Yes",MIN(Q209,'Tax Tables'!$B$31*'Tax Tables'!$B$32),0)</f>
        <v>96000</v>
      </c>
      <c r="T209" s="11" t="n">
        <f aca="false">S209*Calculator!$B$7</f>
        <v>19200</v>
      </c>
      <c r="U209" s="11" t="n">
        <f aca="false">S209*Calculator!$B$8</f>
        <v>16320</v>
      </c>
      <c r="V209" s="11" t="n">
        <f aca="false">IF(Q209&gt;0,'Tax Tables'!$B$32*MIN(MAX(Q209/'Tax Tables'!$B$32*'Tax Tables'!$B$33,'Tax Tables'!$B$34),'Tax Tables'!$B$35),0)</f>
        <v>135</v>
      </c>
      <c r="W209" s="11" t="n">
        <f aca="false">Calculator!$B$5-P209-U209-V209</f>
        <v>285545</v>
      </c>
      <c r="X209" s="11" t="n">
        <f aca="false">'Tax Tables'!$B$22*(MAX(W209,0)-IF(Calculator!$B$10="Yes",MIN(MAX(W209,0),'Tax Tables'!$B$27)*'Tax Tables'!$B$28+MIN(MAX(MAX(W209,0)-'Tax Tables'!$B$27,0),'Tax Tables'!$B$29)*'Tax Tables'!$B$30,MIN(MAX(W209,0),'Tax Tables'!$B$23)*'Tax Tables'!$B$24+MIN(MAX(MAX(W209,0)-'Tax Tables'!$B$23,0),'Tax Tables'!$B$25)*'Tax Tables'!$B$26))*1-MIN('Tax Tables'!$B$22*(MAX(W209,0)-IF(Calculator!$B$10="Yes",MIN(MAX(W209,0),'Tax Tables'!$B$27)*'Tax Tables'!$B$28+MIN(MAX(MAX(W209,0)-'Tax Tables'!$B$27,0),'Tax Tables'!$B$29)*'Tax Tables'!$B$30,MIN(MAX(W209,0),'Tax Tables'!$B$23)*'Tax Tables'!$B$24+MIN(MAX(MAX(W209,0)-'Tax Tables'!$B$23,0),'Tax Tables'!$B$25)*'Tax Tables'!$B$26))*Calculator!$B$11,Calculator!$B$12)</f>
        <v>31117.65</v>
      </c>
      <c r="Y209" s="11" t="n">
        <f aca="false">MAX(W209,0)-X209</f>
        <v>254427.35</v>
      </c>
      <c r="Z209" s="11" t="n">
        <f aca="false">MIN(IF(P209&gt;0,Calculator!$B$13,0)+T209+Calculator!$B$14,'Tax Tables'!$B$36)</f>
        <v>20200</v>
      </c>
      <c r="AA209" s="11" t="n">
        <f aca="false">MAX(P209-Z209,0)</f>
        <v>77800</v>
      </c>
      <c r="AB209" s="11" t="n">
        <f aca="false">SUMPRODUCT((AA209&gt;'Tax Tables'!$A$5:$A$17)*(AA209-'Tax Tables'!$A$5:$A$17)*'Tax Tables'!$C$5:$C$17)</f>
        <v>3196</v>
      </c>
      <c r="AC209" s="11" t="n">
        <f aca="false">IF(W209&lt;0,-1E+099,P209-T209-AB209+Y209+(T209+U209)*Calculator!$B$9)</f>
        <v>365551.35</v>
      </c>
    </row>
    <row r="210" customFormat="false" ht="15" hidden="false" customHeight="false" outlineLevel="0" collapsed="false">
      <c r="A210" s="11" t="n">
        <f aca="false">197*$B$3</f>
        <v>98500</v>
      </c>
      <c r="B210" s="11" t="n">
        <f aca="false">0</f>
        <v>0</v>
      </c>
      <c r="C210" s="11" t="n">
        <f aca="false">A210-B210</f>
        <v>98500</v>
      </c>
      <c r="D210" s="11" t="n">
        <f aca="false">IF(Calculator!$B$6="Yes",MIN(B210,'Tax Tables'!$B$31*'Tax Tables'!$B$32),0)</f>
        <v>0</v>
      </c>
      <c r="E210" s="11" t="n">
        <f aca="false">D210*Calculator!$B$7</f>
        <v>0</v>
      </c>
      <c r="F210" s="11" t="n">
        <f aca="false">D210*Calculator!$B$8</f>
        <v>0</v>
      </c>
      <c r="G210" s="11" t="n">
        <f aca="false">IF(B210&gt;0,'Tax Tables'!$B$32*MIN(MAX(B210/'Tax Tables'!$B$32*'Tax Tables'!$B$33,'Tax Tables'!$B$34),'Tax Tables'!$B$35),0)</f>
        <v>0</v>
      </c>
      <c r="H210" s="11" t="n">
        <f aca="false">Calculator!$B$5-A210-F210-G210</f>
        <v>301500</v>
      </c>
      <c r="I210" s="11" t="n">
        <f aca="false">'Tax Tables'!$B$22*(MAX(H210,0)-IF(Calculator!$B$10="Yes",MIN(MAX(H210,0),'Tax Tables'!$B$27)*'Tax Tables'!$B$28+MIN(MAX(MAX(H210,0)-'Tax Tables'!$B$27,0),'Tax Tables'!$B$29)*'Tax Tables'!$B$30,MIN(MAX(H210,0),'Tax Tables'!$B$23)*'Tax Tables'!$B$24+MIN(MAX(MAX(H210,0)-'Tax Tables'!$B$23,0),'Tax Tables'!$B$25)*'Tax Tables'!$B$26))*1-MIN('Tax Tables'!$B$22*(MAX(H210,0)-IF(Calculator!$B$10="Yes",MIN(MAX(H210,0),'Tax Tables'!$B$27)*'Tax Tables'!$B$28+MIN(MAX(MAX(H210,0)-'Tax Tables'!$B$27,0),'Tax Tables'!$B$29)*'Tax Tables'!$B$30,MIN(MAX(H210,0),'Tax Tables'!$B$23)*'Tax Tables'!$B$24+MIN(MAX(MAX(H210,0)-'Tax Tables'!$B$23,0),'Tax Tables'!$B$25)*'Tax Tables'!$B$26))*Calculator!$B$11,Calculator!$B$12)</f>
        <v>33830</v>
      </c>
      <c r="J210" s="11" t="n">
        <f aca="false">MAX(H210,0)-I210</f>
        <v>267670</v>
      </c>
      <c r="K210" s="11" t="n">
        <f aca="false">MIN(IF(A210&gt;0,Calculator!$B$13,0)+E210+Calculator!$B$14,'Tax Tables'!$B$36)</f>
        <v>1000</v>
      </c>
      <c r="L210" s="11" t="n">
        <f aca="false">MAX(A210-K210,0)</f>
        <v>97500</v>
      </c>
      <c r="M210" s="11" t="n">
        <f aca="false">SUMPRODUCT((L210&gt;'Tax Tables'!$A$5:$A$17)*(L210-'Tax Tables'!$A$5:$A$17)*'Tax Tables'!$C$5:$C$17)</f>
        <v>5362.5</v>
      </c>
      <c r="N210" s="11" t="n">
        <f aca="false">IF(H210&lt;0,-1E+099,A210-E210-M210+J210+(E210+F210)*Calculator!$B$9)</f>
        <v>360807.5</v>
      </c>
      <c r="O210" s="2"/>
      <c r="P210" s="11" t="n">
        <f aca="false">197*$B$3</f>
        <v>98500</v>
      </c>
      <c r="Q210" s="11" t="n">
        <f aca="false">MIN(P210,'Tax Tables'!$B$31*'Tax Tables'!$B$32)</f>
        <v>96000</v>
      </c>
      <c r="R210" s="11" t="n">
        <f aca="false">P210-Q210</f>
        <v>2500</v>
      </c>
      <c r="S210" s="11" t="n">
        <f aca="false">IF(Calculator!$B$6="Yes",MIN(Q210,'Tax Tables'!$B$31*'Tax Tables'!$B$32),0)</f>
        <v>96000</v>
      </c>
      <c r="T210" s="11" t="n">
        <f aca="false">S210*Calculator!$B$7</f>
        <v>19200</v>
      </c>
      <c r="U210" s="11" t="n">
        <f aca="false">S210*Calculator!$B$8</f>
        <v>16320</v>
      </c>
      <c r="V210" s="11" t="n">
        <f aca="false">IF(Q210&gt;0,'Tax Tables'!$B$32*MIN(MAX(Q210/'Tax Tables'!$B$32*'Tax Tables'!$B$33,'Tax Tables'!$B$34),'Tax Tables'!$B$35),0)</f>
        <v>135</v>
      </c>
      <c r="W210" s="11" t="n">
        <f aca="false">Calculator!$B$5-P210-U210-V210</f>
        <v>285045</v>
      </c>
      <c r="X210" s="11" t="n">
        <f aca="false">'Tax Tables'!$B$22*(MAX(W210,0)-IF(Calculator!$B$10="Yes",MIN(MAX(W210,0),'Tax Tables'!$B$27)*'Tax Tables'!$B$28+MIN(MAX(MAX(W210,0)-'Tax Tables'!$B$27,0),'Tax Tables'!$B$29)*'Tax Tables'!$B$30,MIN(MAX(W210,0),'Tax Tables'!$B$23)*'Tax Tables'!$B$24+MIN(MAX(MAX(W210,0)-'Tax Tables'!$B$23,0),'Tax Tables'!$B$25)*'Tax Tables'!$B$26))*1-MIN('Tax Tables'!$B$22*(MAX(W210,0)-IF(Calculator!$B$10="Yes",MIN(MAX(W210,0),'Tax Tables'!$B$27)*'Tax Tables'!$B$28+MIN(MAX(MAX(W210,0)-'Tax Tables'!$B$27,0),'Tax Tables'!$B$29)*'Tax Tables'!$B$30,MIN(MAX(W210,0),'Tax Tables'!$B$23)*'Tax Tables'!$B$24+MIN(MAX(MAX(W210,0)-'Tax Tables'!$B$23,0),'Tax Tables'!$B$25)*'Tax Tables'!$B$26))*Calculator!$B$11,Calculator!$B$12)</f>
        <v>31032.65</v>
      </c>
      <c r="Y210" s="11" t="n">
        <f aca="false">MAX(W210,0)-X210</f>
        <v>254012.35</v>
      </c>
      <c r="Z210" s="11" t="n">
        <f aca="false">MIN(IF(P210&gt;0,Calculator!$B$13,0)+T210+Calculator!$B$14,'Tax Tables'!$B$36)</f>
        <v>20200</v>
      </c>
      <c r="AA210" s="11" t="n">
        <f aca="false">MAX(P210-Z210,0)</f>
        <v>78300</v>
      </c>
      <c r="AB210" s="11" t="n">
        <f aca="false">SUMPRODUCT((AA210&gt;'Tax Tables'!$A$5:$A$17)*(AA210-'Tax Tables'!$A$5:$A$17)*'Tax Tables'!$C$5:$C$17)</f>
        <v>3231</v>
      </c>
      <c r="AC210" s="11" t="n">
        <f aca="false">IF(W210&lt;0,-1E+099,P210-T210-AB210+Y210+(T210+U210)*Calculator!$B$9)</f>
        <v>365601.35</v>
      </c>
    </row>
    <row r="211" customFormat="false" ht="15" hidden="false" customHeight="false" outlineLevel="0" collapsed="false">
      <c r="A211" s="11" t="n">
        <f aca="false">198*$B$3</f>
        <v>99000</v>
      </c>
      <c r="B211" s="11" t="n">
        <f aca="false">0</f>
        <v>0</v>
      </c>
      <c r="C211" s="11" t="n">
        <f aca="false">A211-B211</f>
        <v>99000</v>
      </c>
      <c r="D211" s="11" t="n">
        <f aca="false">IF(Calculator!$B$6="Yes",MIN(B211,'Tax Tables'!$B$31*'Tax Tables'!$B$32),0)</f>
        <v>0</v>
      </c>
      <c r="E211" s="11" t="n">
        <f aca="false">D211*Calculator!$B$7</f>
        <v>0</v>
      </c>
      <c r="F211" s="11" t="n">
        <f aca="false">D211*Calculator!$B$8</f>
        <v>0</v>
      </c>
      <c r="G211" s="11" t="n">
        <f aca="false">IF(B211&gt;0,'Tax Tables'!$B$32*MIN(MAX(B211/'Tax Tables'!$B$32*'Tax Tables'!$B$33,'Tax Tables'!$B$34),'Tax Tables'!$B$35),0)</f>
        <v>0</v>
      </c>
      <c r="H211" s="11" t="n">
        <f aca="false">Calculator!$B$5-A211-F211-G211</f>
        <v>301000</v>
      </c>
      <c r="I211" s="11" t="n">
        <f aca="false">'Tax Tables'!$B$22*(MAX(H211,0)-IF(Calculator!$B$10="Yes",MIN(MAX(H211,0),'Tax Tables'!$B$27)*'Tax Tables'!$B$28+MIN(MAX(MAX(H211,0)-'Tax Tables'!$B$27,0),'Tax Tables'!$B$29)*'Tax Tables'!$B$30,MIN(MAX(H211,0),'Tax Tables'!$B$23)*'Tax Tables'!$B$24+MIN(MAX(MAX(H211,0)-'Tax Tables'!$B$23,0),'Tax Tables'!$B$25)*'Tax Tables'!$B$26))*1-MIN('Tax Tables'!$B$22*(MAX(H211,0)-IF(Calculator!$B$10="Yes",MIN(MAX(H211,0),'Tax Tables'!$B$27)*'Tax Tables'!$B$28+MIN(MAX(MAX(H211,0)-'Tax Tables'!$B$27,0),'Tax Tables'!$B$29)*'Tax Tables'!$B$30,MIN(MAX(H211,0),'Tax Tables'!$B$23)*'Tax Tables'!$B$24+MIN(MAX(MAX(H211,0)-'Tax Tables'!$B$23,0),'Tax Tables'!$B$25)*'Tax Tables'!$B$26))*Calculator!$B$11,Calculator!$B$12)</f>
        <v>33745</v>
      </c>
      <c r="J211" s="11" t="n">
        <f aca="false">MAX(H211,0)-I211</f>
        <v>267255</v>
      </c>
      <c r="K211" s="11" t="n">
        <f aca="false">MIN(IF(A211&gt;0,Calculator!$B$13,0)+E211+Calculator!$B$14,'Tax Tables'!$B$36)</f>
        <v>1000</v>
      </c>
      <c r="L211" s="11" t="n">
        <f aca="false">MAX(A211-K211,0)</f>
        <v>98000</v>
      </c>
      <c r="M211" s="11" t="n">
        <f aca="false">SUMPRODUCT((L211&gt;'Tax Tables'!$A$5:$A$17)*(L211-'Tax Tables'!$A$5:$A$17)*'Tax Tables'!$C$5:$C$17)</f>
        <v>5420</v>
      </c>
      <c r="N211" s="11" t="n">
        <f aca="false">IF(H211&lt;0,-1E+099,A211-E211-M211+J211+(E211+F211)*Calculator!$B$9)</f>
        <v>360835</v>
      </c>
      <c r="O211" s="2"/>
      <c r="P211" s="11" t="n">
        <f aca="false">198*$B$3</f>
        <v>99000</v>
      </c>
      <c r="Q211" s="11" t="n">
        <f aca="false">MIN(P211,'Tax Tables'!$B$31*'Tax Tables'!$B$32)</f>
        <v>96000</v>
      </c>
      <c r="R211" s="11" t="n">
        <f aca="false">P211-Q211</f>
        <v>3000</v>
      </c>
      <c r="S211" s="11" t="n">
        <f aca="false">IF(Calculator!$B$6="Yes",MIN(Q211,'Tax Tables'!$B$31*'Tax Tables'!$B$32),0)</f>
        <v>96000</v>
      </c>
      <c r="T211" s="11" t="n">
        <f aca="false">S211*Calculator!$B$7</f>
        <v>19200</v>
      </c>
      <c r="U211" s="11" t="n">
        <f aca="false">S211*Calculator!$B$8</f>
        <v>16320</v>
      </c>
      <c r="V211" s="11" t="n">
        <f aca="false">IF(Q211&gt;0,'Tax Tables'!$B$32*MIN(MAX(Q211/'Tax Tables'!$B$32*'Tax Tables'!$B$33,'Tax Tables'!$B$34),'Tax Tables'!$B$35),0)</f>
        <v>135</v>
      </c>
      <c r="W211" s="11" t="n">
        <f aca="false">Calculator!$B$5-P211-U211-V211</f>
        <v>284545</v>
      </c>
      <c r="X211" s="11" t="n">
        <f aca="false">'Tax Tables'!$B$22*(MAX(W211,0)-IF(Calculator!$B$10="Yes",MIN(MAX(W211,0),'Tax Tables'!$B$27)*'Tax Tables'!$B$28+MIN(MAX(MAX(W211,0)-'Tax Tables'!$B$27,0),'Tax Tables'!$B$29)*'Tax Tables'!$B$30,MIN(MAX(W211,0),'Tax Tables'!$B$23)*'Tax Tables'!$B$24+MIN(MAX(MAX(W211,0)-'Tax Tables'!$B$23,0),'Tax Tables'!$B$25)*'Tax Tables'!$B$26))*1-MIN('Tax Tables'!$B$22*(MAX(W211,0)-IF(Calculator!$B$10="Yes",MIN(MAX(W211,0),'Tax Tables'!$B$27)*'Tax Tables'!$B$28+MIN(MAX(MAX(W211,0)-'Tax Tables'!$B$27,0),'Tax Tables'!$B$29)*'Tax Tables'!$B$30,MIN(MAX(W211,0),'Tax Tables'!$B$23)*'Tax Tables'!$B$24+MIN(MAX(MAX(W211,0)-'Tax Tables'!$B$23,0),'Tax Tables'!$B$25)*'Tax Tables'!$B$26))*Calculator!$B$11,Calculator!$B$12)</f>
        <v>30947.65</v>
      </c>
      <c r="Y211" s="11" t="n">
        <f aca="false">MAX(W211,0)-X211</f>
        <v>253597.35</v>
      </c>
      <c r="Z211" s="11" t="n">
        <f aca="false">MIN(IF(P211&gt;0,Calculator!$B$13,0)+T211+Calculator!$B$14,'Tax Tables'!$B$36)</f>
        <v>20200</v>
      </c>
      <c r="AA211" s="11" t="n">
        <f aca="false">MAX(P211-Z211,0)</f>
        <v>78800</v>
      </c>
      <c r="AB211" s="11" t="n">
        <f aca="false">SUMPRODUCT((AA211&gt;'Tax Tables'!$A$5:$A$17)*(AA211-'Tax Tables'!$A$5:$A$17)*'Tax Tables'!$C$5:$C$17)</f>
        <v>3266</v>
      </c>
      <c r="AC211" s="11" t="n">
        <f aca="false">IF(W211&lt;0,-1E+099,P211-T211-AB211+Y211+(T211+U211)*Calculator!$B$9)</f>
        <v>365651.35</v>
      </c>
    </row>
    <row r="212" customFormat="false" ht="15" hidden="false" customHeight="false" outlineLevel="0" collapsed="false">
      <c r="A212" s="11" t="n">
        <f aca="false">199*$B$3</f>
        <v>99500</v>
      </c>
      <c r="B212" s="11" t="n">
        <f aca="false">0</f>
        <v>0</v>
      </c>
      <c r="C212" s="11" t="n">
        <f aca="false">A212-B212</f>
        <v>99500</v>
      </c>
      <c r="D212" s="11" t="n">
        <f aca="false">IF(Calculator!$B$6="Yes",MIN(B212,'Tax Tables'!$B$31*'Tax Tables'!$B$32),0)</f>
        <v>0</v>
      </c>
      <c r="E212" s="11" t="n">
        <f aca="false">D212*Calculator!$B$7</f>
        <v>0</v>
      </c>
      <c r="F212" s="11" t="n">
        <f aca="false">D212*Calculator!$B$8</f>
        <v>0</v>
      </c>
      <c r="G212" s="11" t="n">
        <f aca="false">IF(B212&gt;0,'Tax Tables'!$B$32*MIN(MAX(B212/'Tax Tables'!$B$32*'Tax Tables'!$B$33,'Tax Tables'!$B$34),'Tax Tables'!$B$35),0)</f>
        <v>0</v>
      </c>
      <c r="H212" s="11" t="n">
        <f aca="false">Calculator!$B$5-A212-F212-G212</f>
        <v>300500</v>
      </c>
      <c r="I212" s="11" t="n">
        <f aca="false">'Tax Tables'!$B$22*(MAX(H212,0)-IF(Calculator!$B$10="Yes",MIN(MAX(H212,0),'Tax Tables'!$B$27)*'Tax Tables'!$B$28+MIN(MAX(MAX(H212,0)-'Tax Tables'!$B$27,0),'Tax Tables'!$B$29)*'Tax Tables'!$B$30,MIN(MAX(H212,0),'Tax Tables'!$B$23)*'Tax Tables'!$B$24+MIN(MAX(MAX(H212,0)-'Tax Tables'!$B$23,0),'Tax Tables'!$B$25)*'Tax Tables'!$B$26))*1-MIN('Tax Tables'!$B$22*(MAX(H212,0)-IF(Calculator!$B$10="Yes",MIN(MAX(H212,0),'Tax Tables'!$B$27)*'Tax Tables'!$B$28+MIN(MAX(MAX(H212,0)-'Tax Tables'!$B$27,0),'Tax Tables'!$B$29)*'Tax Tables'!$B$30,MIN(MAX(H212,0),'Tax Tables'!$B$23)*'Tax Tables'!$B$24+MIN(MAX(MAX(H212,0)-'Tax Tables'!$B$23,0),'Tax Tables'!$B$25)*'Tax Tables'!$B$26))*Calculator!$B$11,Calculator!$B$12)</f>
        <v>33660</v>
      </c>
      <c r="J212" s="11" t="n">
        <f aca="false">MAX(H212,0)-I212</f>
        <v>266840</v>
      </c>
      <c r="K212" s="11" t="n">
        <f aca="false">MIN(IF(A212&gt;0,Calculator!$B$13,0)+E212+Calculator!$B$14,'Tax Tables'!$B$36)</f>
        <v>1000</v>
      </c>
      <c r="L212" s="11" t="n">
        <f aca="false">MAX(A212-K212,0)</f>
        <v>98500</v>
      </c>
      <c r="M212" s="11" t="n">
        <f aca="false">SUMPRODUCT((L212&gt;'Tax Tables'!$A$5:$A$17)*(L212-'Tax Tables'!$A$5:$A$17)*'Tax Tables'!$C$5:$C$17)</f>
        <v>5477.5</v>
      </c>
      <c r="N212" s="11" t="n">
        <f aca="false">IF(H212&lt;0,-1E+099,A212-E212-M212+J212+(E212+F212)*Calculator!$B$9)</f>
        <v>360862.5</v>
      </c>
      <c r="O212" s="2"/>
      <c r="P212" s="11" t="n">
        <f aca="false">199*$B$3</f>
        <v>99500</v>
      </c>
      <c r="Q212" s="11" t="n">
        <f aca="false">MIN(P212,'Tax Tables'!$B$31*'Tax Tables'!$B$32)</f>
        <v>96000</v>
      </c>
      <c r="R212" s="11" t="n">
        <f aca="false">P212-Q212</f>
        <v>3500</v>
      </c>
      <c r="S212" s="11" t="n">
        <f aca="false">IF(Calculator!$B$6="Yes",MIN(Q212,'Tax Tables'!$B$31*'Tax Tables'!$B$32),0)</f>
        <v>96000</v>
      </c>
      <c r="T212" s="11" t="n">
        <f aca="false">S212*Calculator!$B$7</f>
        <v>19200</v>
      </c>
      <c r="U212" s="11" t="n">
        <f aca="false">S212*Calculator!$B$8</f>
        <v>16320</v>
      </c>
      <c r="V212" s="11" t="n">
        <f aca="false">IF(Q212&gt;0,'Tax Tables'!$B$32*MIN(MAX(Q212/'Tax Tables'!$B$32*'Tax Tables'!$B$33,'Tax Tables'!$B$34),'Tax Tables'!$B$35),0)</f>
        <v>135</v>
      </c>
      <c r="W212" s="11" t="n">
        <f aca="false">Calculator!$B$5-P212-U212-V212</f>
        <v>284045</v>
      </c>
      <c r="X212" s="11" t="n">
        <f aca="false">'Tax Tables'!$B$22*(MAX(W212,0)-IF(Calculator!$B$10="Yes",MIN(MAX(W212,0),'Tax Tables'!$B$27)*'Tax Tables'!$B$28+MIN(MAX(MAX(W212,0)-'Tax Tables'!$B$27,0),'Tax Tables'!$B$29)*'Tax Tables'!$B$30,MIN(MAX(W212,0),'Tax Tables'!$B$23)*'Tax Tables'!$B$24+MIN(MAX(MAX(W212,0)-'Tax Tables'!$B$23,0),'Tax Tables'!$B$25)*'Tax Tables'!$B$26))*1-MIN('Tax Tables'!$B$22*(MAX(W212,0)-IF(Calculator!$B$10="Yes",MIN(MAX(W212,0),'Tax Tables'!$B$27)*'Tax Tables'!$B$28+MIN(MAX(MAX(W212,0)-'Tax Tables'!$B$27,0),'Tax Tables'!$B$29)*'Tax Tables'!$B$30,MIN(MAX(W212,0),'Tax Tables'!$B$23)*'Tax Tables'!$B$24+MIN(MAX(MAX(W212,0)-'Tax Tables'!$B$23,0),'Tax Tables'!$B$25)*'Tax Tables'!$B$26))*Calculator!$B$11,Calculator!$B$12)</f>
        <v>30862.65</v>
      </c>
      <c r="Y212" s="11" t="n">
        <f aca="false">MAX(W212,0)-X212</f>
        <v>253182.35</v>
      </c>
      <c r="Z212" s="11" t="n">
        <f aca="false">MIN(IF(P212&gt;0,Calculator!$B$13,0)+T212+Calculator!$B$14,'Tax Tables'!$B$36)</f>
        <v>20200</v>
      </c>
      <c r="AA212" s="11" t="n">
        <f aca="false">MAX(P212-Z212,0)</f>
        <v>79300</v>
      </c>
      <c r="AB212" s="11" t="n">
        <f aca="false">SUMPRODUCT((AA212&gt;'Tax Tables'!$A$5:$A$17)*(AA212-'Tax Tables'!$A$5:$A$17)*'Tax Tables'!$C$5:$C$17)</f>
        <v>3301</v>
      </c>
      <c r="AC212" s="11" t="n">
        <f aca="false">IF(W212&lt;0,-1E+099,P212-T212-AB212+Y212+(T212+U212)*Calculator!$B$9)</f>
        <v>365701.35</v>
      </c>
    </row>
    <row r="213" customFormat="false" ht="15" hidden="false" customHeight="false" outlineLevel="0" collapsed="false">
      <c r="A213" s="11" t="n">
        <f aca="false">200*$B$3</f>
        <v>100000</v>
      </c>
      <c r="B213" s="11" t="n">
        <f aca="false">0</f>
        <v>0</v>
      </c>
      <c r="C213" s="11" t="n">
        <f aca="false">A213-B213</f>
        <v>100000</v>
      </c>
      <c r="D213" s="11" t="n">
        <f aca="false">IF(Calculator!$B$6="Yes",MIN(B213,'Tax Tables'!$B$31*'Tax Tables'!$B$32),0)</f>
        <v>0</v>
      </c>
      <c r="E213" s="11" t="n">
        <f aca="false">D213*Calculator!$B$7</f>
        <v>0</v>
      </c>
      <c r="F213" s="11" t="n">
        <f aca="false">D213*Calculator!$B$8</f>
        <v>0</v>
      </c>
      <c r="G213" s="11" t="n">
        <f aca="false">IF(B213&gt;0,'Tax Tables'!$B$32*MIN(MAX(B213/'Tax Tables'!$B$32*'Tax Tables'!$B$33,'Tax Tables'!$B$34),'Tax Tables'!$B$35),0)</f>
        <v>0</v>
      </c>
      <c r="H213" s="11" t="n">
        <f aca="false">Calculator!$B$5-A213-F213-G213</f>
        <v>300000</v>
      </c>
      <c r="I213" s="11" t="n">
        <f aca="false">'Tax Tables'!$B$22*(MAX(H213,0)-IF(Calculator!$B$10="Yes",MIN(MAX(H213,0),'Tax Tables'!$B$27)*'Tax Tables'!$B$28+MIN(MAX(MAX(H213,0)-'Tax Tables'!$B$27,0),'Tax Tables'!$B$29)*'Tax Tables'!$B$30,MIN(MAX(H213,0),'Tax Tables'!$B$23)*'Tax Tables'!$B$24+MIN(MAX(MAX(H213,0)-'Tax Tables'!$B$23,0),'Tax Tables'!$B$25)*'Tax Tables'!$B$26))*1-MIN('Tax Tables'!$B$22*(MAX(H213,0)-IF(Calculator!$B$10="Yes",MIN(MAX(H213,0),'Tax Tables'!$B$27)*'Tax Tables'!$B$28+MIN(MAX(MAX(H213,0)-'Tax Tables'!$B$27,0),'Tax Tables'!$B$29)*'Tax Tables'!$B$30,MIN(MAX(H213,0),'Tax Tables'!$B$23)*'Tax Tables'!$B$24+MIN(MAX(MAX(H213,0)-'Tax Tables'!$B$23,0),'Tax Tables'!$B$25)*'Tax Tables'!$B$26))*Calculator!$B$11,Calculator!$B$12)</f>
        <v>33575</v>
      </c>
      <c r="J213" s="11" t="n">
        <f aca="false">MAX(H213,0)-I213</f>
        <v>266425</v>
      </c>
      <c r="K213" s="11" t="n">
        <f aca="false">MIN(IF(A213&gt;0,Calculator!$B$13,0)+E213+Calculator!$B$14,'Tax Tables'!$B$36)</f>
        <v>1000</v>
      </c>
      <c r="L213" s="11" t="n">
        <f aca="false">MAX(A213-K213,0)</f>
        <v>99000</v>
      </c>
      <c r="M213" s="11" t="n">
        <f aca="false">SUMPRODUCT((L213&gt;'Tax Tables'!$A$5:$A$17)*(L213-'Tax Tables'!$A$5:$A$17)*'Tax Tables'!$C$5:$C$17)</f>
        <v>5535</v>
      </c>
      <c r="N213" s="11" t="n">
        <f aca="false">IF(H213&lt;0,-1E+099,A213-E213-M213+J213+(E213+F213)*Calculator!$B$9)</f>
        <v>360890</v>
      </c>
      <c r="O213" s="2"/>
      <c r="P213" s="11" t="n">
        <f aca="false">200*$B$3</f>
        <v>100000</v>
      </c>
      <c r="Q213" s="11" t="n">
        <f aca="false">MIN(P213,'Tax Tables'!$B$31*'Tax Tables'!$B$32)</f>
        <v>96000</v>
      </c>
      <c r="R213" s="11" t="n">
        <f aca="false">P213-Q213</f>
        <v>4000</v>
      </c>
      <c r="S213" s="11" t="n">
        <f aca="false">IF(Calculator!$B$6="Yes",MIN(Q213,'Tax Tables'!$B$31*'Tax Tables'!$B$32),0)</f>
        <v>96000</v>
      </c>
      <c r="T213" s="11" t="n">
        <f aca="false">S213*Calculator!$B$7</f>
        <v>19200</v>
      </c>
      <c r="U213" s="11" t="n">
        <f aca="false">S213*Calculator!$B$8</f>
        <v>16320</v>
      </c>
      <c r="V213" s="11" t="n">
        <f aca="false">IF(Q213&gt;0,'Tax Tables'!$B$32*MIN(MAX(Q213/'Tax Tables'!$B$32*'Tax Tables'!$B$33,'Tax Tables'!$B$34),'Tax Tables'!$B$35),0)</f>
        <v>135</v>
      </c>
      <c r="W213" s="11" t="n">
        <f aca="false">Calculator!$B$5-P213-U213-V213</f>
        <v>283545</v>
      </c>
      <c r="X213" s="11" t="n">
        <f aca="false">'Tax Tables'!$B$22*(MAX(W213,0)-IF(Calculator!$B$10="Yes",MIN(MAX(W213,0),'Tax Tables'!$B$27)*'Tax Tables'!$B$28+MIN(MAX(MAX(W213,0)-'Tax Tables'!$B$27,0),'Tax Tables'!$B$29)*'Tax Tables'!$B$30,MIN(MAX(W213,0),'Tax Tables'!$B$23)*'Tax Tables'!$B$24+MIN(MAX(MAX(W213,0)-'Tax Tables'!$B$23,0),'Tax Tables'!$B$25)*'Tax Tables'!$B$26))*1-MIN('Tax Tables'!$B$22*(MAX(W213,0)-IF(Calculator!$B$10="Yes",MIN(MAX(W213,0),'Tax Tables'!$B$27)*'Tax Tables'!$B$28+MIN(MAX(MAX(W213,0)-'Tax Tables'!$B$27,0),'Tax Tables'!$B$29)*'Tax Tables'!$B$30,MIN(MAX(W213,0),'Tax Tables'!$B$23)*'Tax Tables'!$B$24+MIN(MAX(MAX(W213,0)-'Tax Tables'!$B$23,0),'Tax Tables'!$B$25)*'Tax Tables'!$B$26))*Calculator!$B$11,Calculator!$B$12)</f>
        <v>30777.65</v>
      </c>
      <c r="Y213" s="11" t="n">
        <f aca="false">MAX(W213,0)-X213</f>
        <v>252767.35</v>
      </c>
      <c r="Z213" s="11" t="n">
        <f aca="false">MIN(IF(P213&gt;0,Calculator!$B$13,0)+T213+Calculator!$B$14,'Tax Tables'!$B$36)</f>
        <v>20200</v>
      </c>
      <c r="AA213" s="11" t="n">
        <f aca="false">MAX(P213-Z213,0)</f>
        <v>79800</v>
      </c>
      <c r="AB213" s="11" t="n">
        <f aca="false">SUMPRODUCT((AA213&gt;'Tax Tables'!$A$5:$A$17)*(AA213-'Tax Tables'!$A$5:$A$17)*'Tax Tables'!$C$5:$C$17)</f>
        <v>3336</v>
      </c>
      <c r="AC213" s="11" t="n">
        <f aca="false">IF(W213&lt;0,-1E+099,P213-T213-AB213+Y213+(T213+U213)*Calculator!$B$9)</f>
        <v>365751.35</v>
      </c>
    </row>
    <row r="214" customFormat="false" ht="15" hidden="false" customHeight="false" outlineLevel="0" collapsed="false">
      <c r="A214" s="11" t="n">
        <f aca="false">201*$B$3</f>
        <v>100500</v>
      </c>
      <c r="B214" s="11" t="n">
        <f aca="false">0</f>
        <v>0</v>
      </c>
      <c r="C214" s="11" t="n">
        <f aca="false">A214-B214</f>
        <v>100500</v>
      </c>
      <c r="D214" s="11" t="n">
        <f aca="false">IF(Calculator!$B$6="Yes",MIN(B214,'Tax Tables'!$B$31*'Tax Tables'!$B$32),0)</f>
        <v>0</v>
      </c>
      <c r="E214" s="11" t="n">
        <f aca="false">D214*Calculator!$B$7</f>
        <v>0</v>
      </c>
      <c r="F214" s="11" t="n">
        <f aca="false">D214*Calculator!$B$8</f>
        <v>0</v>
      </c>
      <c r="G214" s="11" t="n">
        <f aca="false">IF(B214&gt;0,'Tax Tables'!$B$32*MIN(MAX(B214/'Tax Tables'!$B$32*'Tax Tables'!$B$33,'Tax Tables'!$B$34),'Tax Tables'!$B$35),0)</f>
        <v>0</v>
      </c>
      <c r="H214" s="11" t="n">
        <f aca="false">Calculator!$B$5-A214-F214-G214</f>
        <v>299500</v>
      </c>
      <c r="I214" s="11" t="n">
        <f aca="false">'Tax Tables'!$B$22*(MAX(H214,0)-IF(Calculator!$B$10="Yes",MIN(MAX(H214,0),'Tax Tables'!$B$27)*'Tax Tables'!$B$28+MIN(MAX(MAX(H214,0)-'Tax Tables'!$B$27,0),'Tax Tables'!$B$29)*'Tax Tables'!$B$30,MIN(MAX(H214,0),'Tax Tables'!$B$23)*'Tax Tables'!$B$24+MIN(MAX(MAX(H214,0)-'Tax Tables'!$B$23,0),'Tax Tables'!$B$25)*'Tax Tables'!$B$26))*1-MIN('Tax Tables'!$B$22*(MAX(H214,0)-IF(Calculator!$B$10="Yes",MIN(MAX(H214,0),'Tax Tables'!$B$27)*'Tax Tables'!$B$28+MIN(MAX(MAX(H214,0)-'Tax Tables'!$B$27,0),'Tax Tables'!$B$29)*'Tax Tables'!$B$30,MIN(MAX(H214,0),'Tax Tables'!$B$23)*'Tax Tables'!$B$24+MIN(MAX(MAX(H214,0)-'Tax Tables'!$B$23,0),'Tax Tables'!$B$25)*'Tax Tables'!$B$26))*Calculator!$B$11,Calculator!$B$12)</f>
        <v>33490</v>
      </c>
      <c r="J214" s="11" t="n">
        <f aca="false">MAX(H214,0)-I214</f>
        <v>266010</v>
      </c>
      <c r="K214" s="11" t="n">
        <f aca="false">MIN(IF(A214&gt;0,Calculator!$B$13,0)+E214+Calculator!$B$14,'Tax Tables'!$B$36)</f>
        <v>1000</v>
      </c>
      <c r="L214" s="11" t="n">
        <f aca="false">MAX(A214-K214,0)</f>
        <v>99500</v>
      </c>
      <c r="M214" s="11" t="n">
        <f aca="false">SUMPRODUCT((L214&gt;'Tax Tables'!$A$5:$A$17)*(L214-'Tax Tables'!$A$5:$A$17)*'Tax Tables'!$C$5:$C$17)</f>
        <v>5592.5</v>
      </c>
      <c r="N214" s="11" t="n">
        <f aca="false">IF(H214&lt;0,-1E+099,A214-E214-M214+J214+(E214+F214)*Calculator!$B$9)</f>
        <v>360917.5</v>
      </c>
      <c r="O214" s="2"/>
      <c r="P214" s="11" t="n">
        <f aca="false">201*$B$3</f>
        <v>100500</v>
      </c>
      <c r="Q214" s="11" t="n">
        <f aca="false">MIN(P214,'Tax Tables'!$B$31*'Tax Tables'!$B$32)</f>
        <v>96000</v>
      </c>
      <c r="R214" s="11" t="n">
        <f aca="false">P214-Q214</f>
        <v>4500</v>
      </c>
      <c r="S214" s="11" t="n">
        <f aca="false">IF(Calculator!$B$6="Yes",MIN(Q214,'Tax Tables'!$B$31*'Tax Tables'!$B$32),0)</f>
        <v>96000</v>
      </c>
      <c r="T214" s="11" t="n">
        <f aca="false">S214*Calculator!$B$7</f>
        <v>19200</v>
      </c>
      <c r="U214" s="11" t="n">
        <f aca="false">S214*Calculator!$B$8</f>
        <v>16320</v>
      </c>
      <c r="V214" s="11" t="n">
        <f aca="false">IF(Q214&gt;0,'Tax Tables'!$B$32*MIN(MAX(Q214/'Tax Tables'!$B$32*'Tax Tables'!$B$33,'Tax Tables'!$B$34),'Tax Tables'!$B$35),0)</f>
        <v>135</v>
      </c>
      <c r="W214" s="11" t="n">
        <f aca="false">Calculator!$B$5-P214-U214-V214</f>
        <v>283045</v>
      </c>
      <c r="X214" s="11" t="n">
        <f aca="false">'Tax Tables'!$B$22*(MAX(W214,0)-IF(Calculator!$B$10="Yes",MIN(MAX(W214,0),'Tax Tables'!$B$27)*'Tax Tables'!$B$28+MIN(MAX(MAX(W214,0)-'Tax Tables'!$B$27,0),'Tax Tables'!$B$29)*'Tax Tables'!$B$30,MIN(MAX(W214,0),'Tax Tables'!$B$23)*'Tax Tables'!$B$24+MIN(MAX(MAX(W214,0)-'Tax Tables'!$B$23,0),'Tax Tables'!$B$25)*'Tax Tables'!$B$26))*1-MIN('Tax Tables'!$B$22*(MAX(W214,0)-IF(Calculator!$B$10="Yes",MIN(MAX(W214,0),'Tax Tables'!$B$27)*'Tax Tables'!$B$28+MIN(MAX(MAX(W214,0)-'Tax Tables'!$B$27,0),'Tax Tables'!$B$29)*'Tax Tables'!$B$30,MIN(MAX(W214,0),'Tax Tables'!$B$23)*'Tax Tables'!$B$24+MIN(MAX(MAX(W214,0)-'Tax Tables'!$B$23,0),'Tax Tables'!$B$25)*'Tax Tables'!$B$26))*Calculator!$B$11,Calculator!$B$12)</f>
        <v>30692.65</v>
      </c>
      <c r="Y214" s="11" t="n">
        <f aca="false">MAX(W214,0)-X214</f>
        <v>252352.35</v>
      </c>
      <c r="Z214" s="11" t="n">
        <f aca="false">MIN(IF(P214&gt;0,Calculator!$B$13,0)+T214+Calculator!$B$14,'Tax Tables'!$B$36)</f>
        <v>20200</v>
      </c>
      <c r="AA214" s="11" t="n">
        <f aca="false">MAX(P214-Z214,0)</f>
        <v>80300</v>
      </c>
      <c r="AB214" s="11" t="n">
        <f aca="false">SUMPRODUCT((AA214&gt;'Tax Tables'!$A$5:$A$17)*(AA214-'Tax Tables'!$A$5:$A$17)*'Tax Tables'!$C$5:$C$17)</f>
        <v>3384.5</v>
      </c>
      <c r="AC214" s="11" t="n">
        <f aca="false">IF(W214&lt;0,-1E+099,P214-T214-AB214+Y214+(T214+U214)*Calculator!$B$9)</f>
        <v>365787.85</v>
      </c>
    </row>
    <row r="215" customFormat="false" ht="15" hidden="false" customHeight="false" outlineLevel="0" collapsed="false">
      <c r="A215" s="11" t="n">
        <f aca="false">202*$B$3</f>
        <v>101000</v>
      </c>
      <c r="B215" s="11" t="n">
        <f aca="false">0</f>
        <v>0</v>
      </c>
      <c r="C215" s="11" t="n">
        <f aca="false">A215-B215</f>
        <v>101000</v>
      </c>
      <c r="D215" s="11" t="n">
        <f aca="false">IF(Calculator!$B$6="Yes",MIN(B215,'Tax Tables'!$B$31*'Tax Tables'!$B$32),0)</f>
        <v>0</v>
      </c>
      <c r="E215" s="11" t="n">
        <f aca="false">D215*Calculator!$B$7</f>
        <v>0</v>
      </c>
      <c r="F215" s="11" t="n">
        <f aca="false">D215*Calculator!$B$8</f>
        <v>0</v>
      </c>
      <c r="G215" s="11" t="n">
        <f aca="false">IF(B215&gt;0,'Tax Tables'!$B$32*MIN(MAX(B215/'Tax Tables'!$B$32*'Tax Tables'!$B$33,'Tax Tables'!$B$34),'Tax Tables'!$B$35),0)</f>
        <v>0</v>
      </c>
      <c r="H215" s="11" t="n">
        <f aca="false">Calculator!$B$5-A215-F215-G215</f>
        <v>299000</v>
      </c>
      <c r="I215" s="11" t="n">
        <f aca="false">'Tax Tables'!$B$22*(MAX(H215,0)-IF(Calculator!$B$10="Yes",MIN(MAX(H215,0),'Tax Tables'!$B$27)*'Tax Tables'!$B$28+MIN(MAX(MAX(H215,0)-'Tax Tables'!$B$27,0),'Tax Tables'!$B$29)*'Tax Tables'!$B$30,MIN(MAX(H215,0),'Tax Tables'!$B$23)*'Tax Tables'!$B$24+MIN(MAX(MAX(H215,0)-'Tax Tables'!$B$23,0),'Tax Tables'!$B$25)*'Tax Tables'!$B$26))*1-MIN('Tax Tables'!$B$22*(MAX(H215,0)-IF(Calculator!$B$10="Yes",MIN(MAX(H215,0),'Tax Tables'!$B$27)*'Tax Tables'!$B$28+MIN(MAX(MAX(H215,0)-'Tax Tables'!$B$27,0),'Tax Tables'!$B$29)*'Tax Tables'!$B$30,MIN(MAX(H215,0),'Tax Tables'!$B$23)*'Tax Tables'!$B$24+MIN(MAX(MAX(H215,0)-'Tax Tables'!$B$23,0),'Tax Tables'!$B$25)*'Tax Tables'!$B$26))*Calculator!$B$11,Calculator!$B$12)</f>
        <v>33405</v>
      </c>
      <c r="J215" s="11" t="n">
        <f aca="false">MAX(H215,0)-I215</f>
        <v>265595</v>
      </c>
      <c r="K215" s="11" t="n">
        <f aca="false">MIN(IF(A215&gt;0,Calculator!$B$13,0)+E215+Calculator!$B$14,'Tax Tables'!$B$36)</f>
        <v>1000</v>
      </c>
      <c r="L215" s="11" t="n">
        <f aca="false">MAX(A215-K215,0)</f>
        <v>100000</v>
      </c>
      <c r="M215" s="11" t="n">
        <f aca="false">SUMPRODUCT((L215&gt;'Tax Tables'!$A$5:$A$17)*(L215-'Tax Tables'!$A$5:$A$17)*'Tax Tables'!$C$5:$C$17)</f>
        <v>5650</v>
      </c>
      <c r="N215" s="11" t="n">
        <f aca="false">IF(H215&lt;0,-1E+099,A215-E215-M215+J215+(E215+F215)*Calculator!$B$9)</f>
        <v>360945</v>
      </c>
      <c r="O215" s="2"/>
      <c r="P215" s="11" t="n">
        <f aca="false">202*$B$3</f>
        <v>101000</v>
      </c>
      <c r="Q215" s="11" t="n">
        <f aca="false">MIN(P215,'Tax Tables'!$B$31*'Tax Tables'!$B$32)</f>
        <v>96000</v>
      </c>
      <c r="R215" s="11" t="n">
        <f aca="false">P215-Q215</f>
        <v>5000</v>
      </c>
      <c r="S215" s="11" t="n">
        <f aca="false">IF(Calculator!$B$6="Yes",MIN(Q215,'Tax Tables'!$B$31*'Tax Tables'!$B$32),0)</f>
        <v>96000</v>
      </c>
      <c r="T215" s="11" t="n">
        <f aca="false">S215*Calculator!$B$7</f>
        <v>19200</v>
      </c>
      <c r="U215" s="11" t="n">
        <f aca="false">S215*Calculator!$B$8</f>
        <v>16320</v>
      </c>
      <c r="V215" s="11" t="n">
        <f aca="false">IF(Q215&gt;0,'Tax Tables'!$B$32*MIN(MAX(Q215/'Tax Tables'!$B$32*'Tax Tables'!$B$33,'Tax Tables'!$B$34),'Tax Tables'!$B$35),0)</f>
        <v>135</v>
      </c>
      <c r="W215" s="11" t="n">
        <f aca="false">Calculator!$B$5-P215-U215-V215</f>
        <v>282545</v>
      </c>
      <c r="X215" s="11" t="n">
        <f aca="false">'Tax Tables'!$B$22*(MAX(W215,0)-IF(Calculator!$B$10="Yes",MIN(MAX(W215,0),'Tax Tables'!$B$27)*'Tax Tables'!$B$28+MIN(MAX(MAX(W215,0)-'Tax Tables'!$B$27,0),'Tax Tables'!$B$29)*'Tax Tables'!$B$30,MIN(MAX(W215,0),'Tax Tables'!$B$23)*'Tax Tables'!$B$24+MIN(MAX(MAX(W215,0)-'Tax Tables'!$B$23,0),'Tax Tables'!$B$25)*'Tax Tables'!$B$26))*1-MIN('Tax Tables'!$B$22*(MAX(W215,0)-IF(Calculator!$B$10="Yes",MIN(MAX(W215,0),'Tax Tables'!$B$27)*'Tax Tables'!$B$28+MIN(MAX(MAX(W215,0)-'Tax Tables'!$B$27,0),'Tax Tables'!$B$29)*'Tax Tables'!$B$30,MIN(MAX(W215,0),'Tax Tables'!$B$23)*'Tax Tables'!$B$24+MIN(MAX(MAX(W215,0)-'Tax Tables'!$B$23,0),'Tax Tables'!$B$25)*'Tax Tables'!$B$26))*Calculator!$B$11,Calculator!$B$12)</f>
        <v>30607.65</v>
      </c>
      <c r="Y215" s="11" t="n">
        <f aca="false">MAX(W215,0)-X215</f>
        <v>251937.35</v>
      </c>
      <c r="Z215" s="11" t="n">
        <f aca="false">MIN(IF(P215&gt;0,Calculator!$B$13,0)+T215+Calculator!$B$14,'Tax Tables'!$B$36)</f>
        <v>20200</v>
      </c>
      <c r="AA215" s="11" t="n">
        <f aca="false">MAX(P215-Z215,0)</f>
        <v>80800</v>
      </c>
      <c r="AB215" s="11" t="n">
        <f aca="false">SUMPRODUCT((AA215&gt;'Tax Tables'!$A$5:$A$17)*(AA215-'Tax Tables'!$A$5:$A$17)*'Tax Tables'!$C$5:$C$17)</f>
        <v>3442</v>
      </c>
      <c r="AC215" s="11" t="n">
        <f aca="false">IF(W215&lt;0,-1E+099,P215-T215-AB215+Y215+(T215+U215)*Calculator!$B$9)</f>
        <v>365815.35</v>
      </c>
    </row>
    <row r="216" customFormat="false" ht="15" hidden="false" customHeight="false" outlineLevel="0" collapsed="false">
      <c r="A216" s="11" t="n">
        <f aca="false">203*$B$3</f>
        <v>101500</v>
      </c>
      <c r="B216" s="11" t="n">
        <f aca="false">0</f>
        <v>0</v>
      </c>
      <c r="C216" s="11" t="n">
        <f aca="false">A216-B216</f>
        <v>101500</v>
      </c>
      <c r="D216" s="11" t="n">
        <f aca="false">IF(Calculator!$B$6="Yes",MIN(B216,'Tax Tables'!$B$31*'Tax Tables'!$B$32),0)</f>
        <v>0</v>
      </c>
      <c r="E216" s="11" t="n">
        <f aca="false">D216*Calculator!$B$7</f>
        <v>0</v>
      </c>
      <c r="F216" s="11" t="n">
        <f aca="false">D216*Calculator!$B$8</f>
        <v>0</v>
      </c>
      <c r="G216" s="11" t="n">
        <f aca="false">IF(B216&gt;0,'Tax Tables'!$B$32*MIN(MAX(B216/'Tax Tables'!$B$32*'Tax Tables'!$B$33,'Tax Tables'!$B$34),'Tax Tables'!$B$35),0)</f>
        <v>0</v>
      </c>
      <c r="H216" s="11" t="n">
        <f aca="false">Calculator!$B$5-A216-F216-G216</f>
        <v>298500</v>
      </c>
      <c r="I216" s="11" t="n">
        <f aca="false">'Tax Tables'!$B$22*(MAX(H216,0)-IF(Calculator!$B$10="Yes",MIN(MAX(H216,0),'Tax Tables'!$B$27)*'Tax Tables'!$B$28+MIN(MAX(MAX(H216,0)-'Tax Tables'!$B$27,0),'Tax Tables'!$B$29)*'Tax Tables'!$B$30,MIN(MAX(H216,0),'Tax Tables'!$B$23)*'Tax Tables'!$B$24+MIN(MAX(MAX(H216,0)-'Tax Tables'!$B$23,0),'Tax Tables'!$B$25)*'Tax Tables'!$B$26))*1-MIN('Tax Tables'!$B$22*(MAX(H216,0)-IF(Calculator!$B$10="Yes",MIN(MAX(H216,0),'Tax Tables'!$B$27)*'Tax Tables'!$B$28+MIN(MAX(MAX(H216,0)-'Tax Tables'!$B$27,0),'Tax Tables'!$B$29)*'Tax Tables'!$B$30,MIN(MAX(H216,0),'Tax Tables'!$B$23)*'Tax Tables'!$B$24+MIN(MAX(MAX(H216,0)-'Tax Tables'!$B$23,0),'Tax Tables'!$B$25)*'Tax Tables'!$B$26))*Calculator!$B$11,Calculator!$B$12)</f>
        <v>33320</v>
      </c>
      <c r="J216" s="11" t="n">
        <f aca="false">MAX(H216,0)-I216</f>
        <v>265180</v>
      </c>
      <c r="K216" s="11" t="n">
        <f aca="false">MIN(IF(A216&gt;0,Calculator!$B$13,0)+E216+Calculator!$B$14,'Tax Tables'!$B$36)</f>
        <v>1000</v>
      </c>
      <c r="L216" s="11" t="n">
        <f aca="false">MAX(A216-K216,0)</f>
        <v>100500</v>
      </c>
      <c r="M216" s="11" t="n">
        <f aca="false">SUMPRODUCT((L216&gt;'Tax Tables'!$A$5:$A$17)*(L216-'Tax Tables'!$A$5:$A$17)*'Tax Tables'!$C$5:$C$17)</f>
        <v>5707.5</v>
      </c>
      <c r="N216" s="11" t="n">
        <f aca="false">IF(H216&lt;0,-1E+099,A216-E216-M216+J216+(E216+F216)*Calculator!$B$9)</f>
        <v>360972.5</v>
      </c>
      <c r="O216" s="2"/>
      <c r="P216" s="11" t="n">
        <f aca="false">203*$B$3</f>
        <v>101500</v>
      </c>
      <c r="Q216" s="11" t="n">
        <f aca="false">MIN(P216,'Tax Tables'!$B$31*'Tax Tables'!$B$32)</f>
        <v>96000</v>
      </c>
      <c r="R216" s="11" t="n">
        <f aca="false">P216-Q216</f>
        <v>5500</v>
      </c>
      <c r="S216" s="11" t="n">
        <f aca="false">IF(Calculator!$B$6="Yes",MIN(Q216,'Tax Tables'!$B$31*'Tax Tables'!$B$32),0)</f>
        <v>96000</v>
      </c>
      <c r="T216" s="11" t="n">
        <f aca="false">S216*Calculator!$B$7</f>
        <v>19200</v>
      </c>
      <c r="U216" s="11" t="n">
        <f aca="false">S216*Calculator!$B$8</f>
        <v>16320</v>
      </c>
      <c r="V216" s="11" t="n">
        <f aca="false">IF(Q216&gt;0,'Tax Tables'!$B$32*MIN(MAX(Q216/'Tax Tables'!$B$32*'Tax Tables'!$B$33,'Tax Tables'!$B$34),'Tax Tables'!$B$35),0)</f>
        <v>135</v>
      </c>
      <c r="W216" s="11" t="n">
        <f aca="false">Calculator!$B$5-P216-U216-V216</f>
        <v>282045</v>
      </c>
      <c r="X216" s="11" t="n">
        <f aca="false">'Tax Tables'!$B$22*(MAX(W216,0)-IF(Calculator!$B$10="Yes",MIN(MAX(W216,0),'Tax Tables'!$B$27)*'Tax Tables'!$B$28+MIN(MAX(MAX(W216,0)-'Tax Tables'!$B$27,0),'Tax Tables'!$B$29)*'Tax Tables'!$B$30,MIN(MAX(W216,0),'Tax Tables'!$B$23)*'Tax Tables'!$B$24+MIN(MAX(MAX(W216,0)-'Tax Tables'!$B$23,0),'Tax Tables'!$B$25)*'Tax Tables'!$B$26))*1-MIN('Tax Tables'!$B$22*(MAX(W216,0)-IF(Calculator!$B$10="Yes",MIN(MAX(W216,0),'Tax Tables'!$B$27)*'Tax Tables'!$B$28+MIN(MAX(MAX(W216,0)-'Tax Tables'!$B$27,0),'Tax Tables'!$B$29)*'Tax Tables'!$B$30,MIN(MAX(W216,0),'Tax Tables'!$B$23)*'Tax Tables'!$B$24+MIN(MAX(MAX(W216,0)-'Tax Tables'!$B$23,0),'Tax Tables'!$B$25)*'Tax Tables'!$B$26))*Calculator!$B$11,Calculator!$B$12)</f>
        <v>30522.65</v>
      </c>
      <c r="Y216" s="11" t="n">
        <f aca="false">MAX(W216,0)-X216</f>
        <v>251522.35</v>
      </c>
      <c r="Z216" s="11" t="n">
        <f aca="false">MIN(IF(P216&gt;0,Calculator!$B$13,0)+T216+Calculator!$B$14,'Tax Tables'!$B$36)</f>
        <v>20200</v>
      </c>
      <c r="AA216" s="11" t="n">
        <f aca="false">MAX(P216-Z216,0)</f>
        <v>81300</v>
      </c>
      <c r="AB216" s="11" t="n">
        <f aca="false">SUMPRODUCT((AA216&gt;'Tax Tables'!$A$5:$A$17)*(AA216-'Tax Tables'!$A$5:$A$17)*'Tax Tables'!$C$5:$C$17)</f>
        <v>3499.5</v>
      </c>
      <c r="AC216" s="11" t="n">
        <f aca="false">IF(W216&lt;0,-1E+099,P216-T216-AB216+Y216+(T216+U216)*Calculator!$B$9)</f>
        <v>365842.85</v>
      </c>
    </row>
    <row r="217" customFormat="false" ht="15" hidden="false" customHeight="false" outlineLevel="0" collapsed="false">
      <c r="A217" s="11" t="n">
        <f aca="false">204*$B$3</f>
        <v>102000</v>
      </c>
      <c r="B217" s="11" t="n">
        <f aca="false">0</f>
        <v>0</v>
      </c>
      <c r="C217" s="11" t="n">
        <f aca="false">A217-B217</f>
        <v>102000</v>
      </c>
      <c r="D217" s="11" t="n">
        <f aca="false">IF(Calculator!$B$6="Yes",MIN(B217,'Tax Tables'!$B$31*'Tax Tables'!$B$32),0)</f>
        <v>0</v>
      </c>
      <c r="E217" s="11" t="n">
        <f aca="false">D217*Calculator!$B$7</f>
        <v>0</v>
      </c>
      <c r="F217" s="11" t="n">
        <f aca="false">D217*Calculator!$B$8</f>
        <v>0</v>
      </c>
      <c r="G217" s="11" t="n">
        <f aca="false">IF(B217&gt;0,'Tax Tables'!$B$32*MIN(MAX(B217/'Tax Tables'!$B$32*'Tax Tables'!$B$33,'Tax Tables'!$B$34),'Tax Tables'!$B$35),0)</f>
        <v>0</v>
      </c>
      <c r="H217" s="11" t="n">
        <f aca="false">Calculator!$B$5-A217-F217-G217</f>
        <v>298000</v>
      </c>
      <c r="I217" s="11" t="n">
        <f aca="false">'Tax Tables'!$B$22*(MAX(H217,0)-IF(Calculator!$B$10="Yes",MIN(MAX(H217,0),'Tax Tables'!$B$27)*'Tax Tables'!$B$28+MIN(MAX(MAX(H217,0)-'Tax Tables'!$B$27,0),'Tax Tables'!$B$29)*'Tax Tables'!$B$30,MIN(MAX(H217,0),'Tax Tables'!$B$23)*'Tax Tables'!$B$24+MIN(MAX(MAX(H217,0)-'Tax Tables'!$B$23,0),'Tax Tables'!$B$25)*'Tax Tables'!$B$26))*1-MIN('Tax Tables'!$B$22*(MAX(H217,0)-IF(Calculator!$B$10="Yes",MIN(MAX(H217,0),'Tax Tables'!$B$27)*'Tax Tables'!$B$28+MIN(MAX(MAX(H217,0)-'Tax Tables'!$B$27,0),'Tax Tables'!$B$29)*'Tax Tables'!$B$30,MIN(MAX(H217,0),'Tax Tables'!$B$23)*'Tax Tables'!$B$24+MIN(MAX(MAX(H217,0)-'Tax Tables'!$B$23,0),'Tax Tables'!$B$25)*'Tax Tables'!$B$26))*Calculator!$B$11,Calculator!$B$12)</f>
        <v>33235</v>
      </c>
      <c r="J217" s="11" t="n">
        <f aca="false">MAX(H217,0)-I217</f>
        <v>264765</v>
      </c>
      <c r="K217" s="11" t="n">
        <f aca="false">MIN(IF(A217&gt;0,Calculator!$B$13,0)+E217+Calculator!$B$14,'Tax Tables'!$B$36)</f>
        <v>1000</v>
      </c>
      <c r="L217" s="11" t="n">
        <f aca="false">MAX(A217-K217,0)</f>
        <v>101000</v>
      </c>
      <c r="M217" s="11" t="n">
        <f aca="false">SUMPRODUCT((L217&gt;'Tax Tables'!$A$5:$A$17)*(L217-'Tax Tables'!$A$5:$A$17)*'Tax Tables'!$C$5:$C$17)</f>
        <v>5765</v>
      </c>
      <c r="N217" s="11" t="n">
        <f aca="false">IF(H217&lt;0,-1E+099,A217-E217-M217+J217+(E217+F217)*Calculator!$B$9)</f>
        <v>361000</v>
      </c>
      <c r="O217" s="2"/>
      <c r="P217" s="11" t="n">
        <f aca="false">204*$B$3</f>
        <v>102000</v>
      </c>
      <c r="Q217" s="11" t="n">
        <f aca="false">MIN(P217,'Tax Tables'!$B$31*'Tax Tables'!$B$32)</f>
        <v>96000</v>
      </c>
      <c r="R217" s="11" t="n">
        <f aca="false">P217-Q217</f>
        <v>6000</v>
      </c>
      <c r="S217" s="11" t="n">
        <f aca="false">IF(Calculator!$B$6="Yes",MIN(Q217,'Tax Tables'!$B$31*'Tax Tables'!$B$32),0)</f>
        <v>96000</v>
      </c>
      <c r="T217" s="11" t="n">
        <f aca="false">S217*Calculator!$B$7</f>
        <v>19200</v>
      </c>
      <c r="U217" s="11" t="n">
        <f aca="false">S217*Calculator!$B$8</f>
        <v>16320</v>
      </c>
      <c r="V217" s="11" t="n">
        <f aca="false">IF(Q217&gt;0,'Tax Tables'!$B$32*MIN(MAX(Q217/'Tax Tables'!$B$32*'Tax Tables'!$B$33,'Tax Tables'!$B$34),'Tax Tables'!$B$35),0)</f>
        <v>135</v>
      </c>
      <c r="W217" s="11" t="n">
        <f aca="false">Calculator!$B$5-P217-U217-V217</f>
        <v>281545</v>
      </c>
      <c r="X217" s="11" t="n">
        <f aca="false">'Tax Tables'!$B$22*(MAX(W217,0)-IF(Calculator!$B$10="Yes",MIN(MAX(W217,0),'Tax Tables'!$B$27)*'Tax Tables'!$B$28+MIN(MAX(MAX(W217,0)-'Tax Tables'!$B$27,0),'Tax Tables'!$B$29)*'Tax Tables'!$B$30,MIN(MAX(W217,0),'Tax Tables'!$B$23)*'Tax Tables'!$B$24+MIN(MAX(MAX(W217,0)-'Tax Tables'!$B$23,0),'Tax Tables'!$B$25)*'Tax Tables'!$B$26))*1-MIN('Tax Tables'!$B$22*(MAX(W217,0)-IF(Calculator!$B$10="Yes",MIN(MAX(W217,0),'Tax Tables'!$B$27)*'Tax Tables'!$B$28+MIN(MAX(MAX(W217,0)-'Tax Tables'!$B$27,0),'Tax Tables'!$B$29)*'Tax Tables'!$B$30,MIN(MAX(W217,0),'Tax Tables'!$B$23)*'Tax Tables'!$B$24+MIN(MAX(MAX(W217,0)-'Tax Tables'!$B$23,0),'Tax Tables'!$B$25)*'Tax Tables'!$B$26))*Calculator!$B$11,Calculator!$B$12)</f>
        <v>30437.65</v>
      </c>
      <c r="Y217" s="11" t="n">
        <f aca="false">MAX(W217,0)-X217</f>
        <v>251107.35</v>
      </c>
      <c r="Z217" s="11" t="n">
        <f aca="false">MIN(IF(P217&gt;0,Calculator!$B$13,0)+T217+Calculator!$B$14,'Tax Tables'!$B$36)</f>
        <v>20200</v>
      </c>
      <c r="AA217" s="11" t="n">
        <f aca="false">MAX(P217-Z217,0)</f>
        <v>81800</v>
      </c>
      <c r="AB217" s="11" t="n">
        <f aca="false">SUMPRODUCT((AA217&gt;'Tax Tables'!$A$5:$A$17)*(AA217-'Tax Tables'!$A$5:$A$17)*'Tax Tables'!$C$5:$C$17)</f>
        <v>3557</v>
      </c>
      <c r="AC217" s="11" t="n">
        <f aca="false">IF(W217&lt;0,-1E+099,P217-T217-AB217+Y217+(T217+U217)*Calculator!$B$9)</f>
        <v>365870.35</v>
      </c>
    </row>
    <row r="218" customFormat="false" ht="15" hidden="false" customHeight="false" outlineLevel="0" collapsed="false">
      <c r="A218" s="11" t="n">
        <f aca="false">205*$B$3</f>
        <v>102500</v>
      </c>
      <c r="B218" s="11" t="n">
        <f aca="false">0</f>
        <v>0</v>
      </c>
      <c r="C218" s="11" t="n">
        <f aca="false">A218-B218</f>
        <v>102500</v>
      </c>
      <c r="D218" s="11" t="n">
        <f aca="false">IF(Calculator!$B$6="Yes",MIN(B218,'Tax Tables'!$B$31*'Tax Tables'!$B$32),0)</f>
        <v>0</v>
      </c>
      <c r="E218" s="11" t="n">
        <f aca="false">D218*Calculator!$B$7</f>
        <v>0</v>
      </c>
      <c r="F218" s="11" t="n">
        <f aca="false">D218*Calculator!$B$8</f>
        <v>0</v>
      </c>
      <c r="G218" s="11" t="n">
        <f aca="false">IF(B218&gt;0,'Tax Tables'!$B$32*MIN(MAX(B218/'Tax Tables'!$B$32*'Tax Tables'!$B$33,'Tax Tables'!$B$34),'Tax Tables'!$B$35),0)</f>
        <v>0</v>
      </c>
      <c r="H218" s="11" t="n">
        <f aca="false">Calculator!$B$5-A218-F218-G218</f>
        <v>297500</v>
      </c>
      <c r="I218" s="11" t="n">
        <f aca="false">'Tax Tables'!$B$22*(MAX(H218,0)-IF(Calculator!$B$10="Yes",MIN(MAX(H218,0),'Tax Tables'!$B$27)*'Tax Tables'!$B$28+MIN(MAX(MAX(H218,0)-'Tax Tables'!$B$27,0),'Tax Tables'!$B$29)*'Tax Tables'!$B$30,MIN(MAX(H218,0),'Tax Tables'!$B$23)*'Tax Tables'!$B$24+MIN(MAX(MAX(H218,0)-'Tax Tables'!$B$23,0),'Tax Tables'!$B$25)*'Tax Tables'!$B$26))*1-MIN('Tax Tables'!$B$22*(MAX(H218,0)-IF(Calculator!$B$10="Yes",MIN(MAX(H218,0),'Tax Tables'!$B$27)*'Tax Tables'!$B$28+MIN(MAX(MAX(H218,0)-'Tax Tables'!$B$27,0),'Tax Tables'!$B$29)*'Tax Tables'!$B$30,MIN(MAX(H218,0),'Tax Tables'!$B$23)*'Tax Tables'!$B$24+MIN(MAX(MAX(H218,0)-'Tax Tables'!$B$23,0),'Tax Tables'!$B$25)*'Tax Tables'!$B$26))*Calculator!$B$11,Calculator!$B$12)</f>
        <v>33150</v>
      </c>
      <c r="J218" s="11" t="n">
        <f aca="false">MAX(H218,0)-I218</f>
        <v>264350</v>
      </c>
      <c r="K218" s="11" t="n">
        <f aca="false">MIN(IF(A218&gt;0,Calculator!$B$13,0)+E218+Calculator!$B$14,'Tax Tables'!$B$36)</f>
        <v>1000</v>
      </c>
      <c r="L218" s="11" t="n">
        <f aca="false">MAX(A218-K218,0)</f>
        <v>101500</v>
      </c>
      <c r="M218" s="11" t="n">
        <f aca="false">SUMPRODUCT((L218&gt;'Tax Tables'!$A$5:$A$17)*(L218-'Tax Tables'!$A$5:$A$17)*'Tax Tables'!$C$5:$C$17)</f>
        <v>5822.5</v>
      </c>
      <c r="N218" s="11" t="n">
        <f aca="false">IF(H218&lt;0,-1E+099,A218-E218-M218+J218+(E218+F218)*Calculator!$B$9)</f>
        <v>361027.5</v>
      </c>
      <c r="O218" s="2"/>
      <c r="P218" s="11" t="n">
        <f aca="false">205*$B$3</f>
        <v>102500</v>
      </c>
      <c r="Q218" s="11" t="n">
        <f aca="false">MIN(P218,'Tax Tables'!$B$31*'Tax Tables'!$B$32)</f>
        <v>96000</v>
      </c>
      <c r="R218" s="11" t="n">
        <f aca="false">P218-Q218</f>
        <v>6500</v>
      </c>
      <c r="S218" s="11" t="n">
        <f aca="false">IF(Calculator!$B$6="Yes",MIN(Q218,'Tax Tables'!$B$31*'Tax Tables'!$B$32),0)</f>
        <v>96000</v>
      </c>
      <c r="T218" s="11" t="n">
        <f aca="false">S218*Calculator!$B$7</f>
        <v>19200</v>
      </c>
      <c r="U218" s="11" t="n">
        <f aca="false">S218*Calculator!$B$8</f>
        <v>16320</v>
      </c>
      <c r="V218" s="11" t="n">
        <f aca="false">IF(Q218&gt;0,'Tax Tables'!$B$32*MIN(MAX(Q218/'Tax Tables'!$B$32*'Tax Tables'!$B$33,'Tax Tables'!$B$34),'Tax Tables'!$B$35),0)</f>
        <v>135</v>
      </c>
      <c r="W218" s="11" t="n">
        <f aca="false">Calculator!$B$5-P218-U218-V218</f>
        <v>281045</v>
      </c>
      <c r="X218" s="11" t="n">
        <f aca="false">'Tax Tables'!$B$22*(MAX(W218,0)-IF(Calculator!$B$10="Yes",MIN(MAX(W218,0),'Tax Tables'!$B$27)*'Tax Tables'!$B$28+MIN(MAX(MAX(W218,0)-'Tax Tables'!$B$27,0),'Tax Tables'!$B$29)*'Tax Tables'!$B$30,MIN(MAX(W218,0),'Tax Tables'!$B$23)*'Tax Tables'!$B$24+MIN(MAX(MAX(W218,0)-'Tax Tables'!$B$23,0),'Tax Tables'!$B$25)*'Tax Tables'!$B$26))*1-MIN('Tax Tables'!$B$22*(MAX(W218,0)-IF(Calculator!$B$10="Yes",MIN(MAX(W218,0),'Tax Tables'!$B$27)*'Tax Tables'!$B$28+MIN(MAX(MAX(W218,0)-'Tax Tables'!$B$27,0),'Tax Tables'!$B$29)*'Tax Tables'!$B$30,MIN(MAX(W218,0),'Tax Tables'!$B$23)*'Tax Tables'!$B$24+MIN(MAX(MAX(W218,0)-'Tax Tables'!$B$23,0),'Tax Tables'!$B$25)*'Tax Tables'!$B$26))*Calculator!$B$11,Calculator!$B$12)</f>
        <v>30352.65</v>
      </c>
      <c r="Y218" s="11" t="n">
        <f aca="false">MAX(W218,0)-X218</f>
        <v>250692.35</v>
      </c>
      <c r="Z218" s="11" t="n">
        <f aca="false">MIN(IF(P218&gt;0,Calculator!$B$13,0)+T218+Calculator!$B$14,'Tax Tables'!$B$36)</f>
        <v>20200</v>
      </c>
      <c r="AA218" s="11" t="n">
        <f aca="false">MAX(P218-Z218,0)</f>
        <v>82300</v>
      </c>
      <c r="AB218" s="11" t="n">
        <f aca="false">SUMPRODUCT((AA218&gt;'Tax Tables'!$A$5:$A$17)*(AA218-'Tax Tables'!$A$5:$A$17)*'Tax Tables'!$C$5:$C$17)</f>
        <v>3614.5</v>
      </c>
      <c r="AC218" s="11" t="n">
        <f aca="false">IF(W218&lt;0,-1E+099,P218-T218-AB218+Y218+(T218+U218)*Calculator!$B$9)</f>
        <v>365897.85</v>
      </c>
    </row>
    <row r="219" customFormat="false" ht="15" hidden="false" customHeight="false" outlineLevel="0" collapsed="false">
      <c r="A219" s="11" t="n">
        <f aca="false">206*$B$3</f>
        <v>103000</v>
      </c>
      <c r="B219" s="11" t="n">
        <f aca="false">0</f>
        <v>0</v>
      </c>
      <c r="C219" s="11" t="n">
        <f aca="false">A219-B219</f>
        <v>103000</v>
      </c>
      <c r="D219" s="11" t="n">
        <f aca="false">IF(Calculator!$B$6="Yes",MIN(B219,'Tax Tables'!$B$31*'Tax Tables'!$B$32),0)</f>
        <v>0</v>
      </c>
      <c r="E219" s="11" t="n">
        <f aca="false">D219*Calculator!$B$7</f>
        <v>0</v>
      </c>
      <c r="F219" s="11" t="n">
        <f aca="false">D219*Calculator!$B$8</f>
        <v>0</v>
      </c>
      <c r="G219" s="11" t="n">
        <f aca="false">IF(B219&gt;0,'Tax Tables'!$B$32*MIN(MAX(B219/'Tax Tables'!$B$32*'Tax Tables'!$B$33,'Tax Tables'!$B$34),'Tax Tables'!$B$35),0)</f>
        <v>0</v>
      </c>
      <c r="H219" s="11" t="n">
        <f aca="false">Calculator!$B$5-A219-F219-G219</f>
        <v>297000</v>
      </c>
      <c r="I219" s="11" t="n">
        <f aca="false">'Tax Tables'!$B$22*(MAX(H219,0)-IF(Calculator!$B$10="Yes",MIN(MAX(H219,0),'Tax Tables'!$B$27)*'Tax Tables'!$B$28+MIN(MAX(MAX(H219,0)-'Tax Tables'!$B$27,0),'Tax Tables'!$B$29)*'Tax Tables'!$B$30,MIN(MAX(H219,0),'Tax Tables'!$B$23)*'Tax Tables'!$B$24+MIN(MAX(MAX(H219,0)-'Tax Tables'!$B$23,0),'Tax Tables'!$B$25)*'Tax Tables'!$B$26))*1-MIN('Tax Tables'!$B$22*(MAX(H219,0)-IF(Calculator!$B$10="Yes",MIN(MAX(H219,0),'Tax Tables'!$B$27)*'Tax Tables'!$B$28+MIN(MAX(MAX(H219,0)-'Tax Tables'!$B$27,0),'Tax Tables'!$B$29)*'Tax Tables'!$B$30,MIN(MAX(H219,0),'Tax Tables'!$B$23)*'Tax Tables'!$B$24+MIN(MAX(MAX(H219,0)-'Tax Tables'!$B$23,0),'Tax Tables'!$B$25)*'Tax Tables'!$B$26))*Calculator!$B$11,Calculator!$B$12)</f>
        <v>33065</v>
      </c>
      <c r="J219" s="11" t="n">
        <f aca="false">MAX(H219,0)-I219</f>
        <v>263935</v>
      </c>
      <c r="K219" s="11" t="n">
        <f aca="false">MIN(IF(A219&gt;0,Calculator!$B$13,0)+E219+Calculator!$B$14,'Tax Tables'!$B$36)</f>
        <v>1000</v>
      </c>
      <c r="L219" s="11" t="n">
        <f aca="false">MAX(A219-K219,0)</f>
        <v>102000</v>
      </c>
      <c r="M219" s="11" t="n">
        <f aca="false">SUMPRODUCT((L219&gt;'Tax Tables'!$A$5:$A$17)*(L219-'Tax Tables'!$A$5:$A$17)*'Tax Tables'!$C$5:$C$17)</f>
        <v>5880</v>
      </c>
      <c r="N219" s="11" t="n">
        <f aca="false">IF(H219&lt;0,-1E+099,A219-E219-M219+J219+(E219+F219)*Calculator!$B$9)</f>
        <v>361055</v>
      </c>
      <c r="O219" s="2"/>
      <c r="P219" s="11" t="n">
        <f aca="false">206*$B$3</f>
        <v>103000</v>
      </c>
      <c r="Q219" s="11" t="n">
        <f aca="false">MIN(P219,'Tax Tables'!$B$31*'Tax Tables'!$B$32)</f>
        <v>96000</v>
      </c>
      <c r="R219" s="11" t="n">
        <f aca="false">P219-Q219</f>
        <v>7000</v>
      </c>
      <c r="S219" s="11" t="n">
        <f aca="false">IF(Calculator!$B$6="Yes",MIN(Q219,'Tax Tables'!$B$31*'Tax Tables'!$B$32),0)</f>
        <v>96000</v>
      </c>
      <c r="T219" s="11" t="n">
        <f aca="false">S219*Calculator!$B$7</f>
        <v>19200</v>
      </c>
      <c r="U219" s="11" t="n">
        <f aca="false">S219*Calculator!$B$8</f>
        <v>16320</v>
      </c>
      <c r="V219" s="11" t="n">
        <f aca="false">IF(Q219&gt;0,'Tax Tables'!$B$32*MIN(MAX(Q219/'Tax Tables'!$B$32*'Tax Tables'!$B$33,'Tax Tables'!$B$34),'Tax Tables'!$B$35),0)</f>
        <v>135</v>
      </c>
      <c r="W219" s="11" t="n">
        <f aca="false">Calculator!$B$5-P219-U219-V219</f>
        <v>280545</v>
      </c>
      <c r="X219" s="11" t="n">
        <f aca="false">'Tax Tables'!$B$22*(MAX(W219,0)-IF(Calculator!$B$10="Yes",MIN(MAX(W219,0),'Tax Tables'!$B$27)*'Tax Tables'!$B$28+MIN(MAX(MAX(W219,0)-'Tax Tables'!$B$27,0),'Tax Tables'!$B$29)*'Tax Tables'!$B$30,MIN(MAX(W219,0),'Tax Tables'!$B$23)*'Tax Tables'!$B$24+MIN(MAX(MAX(W219,0)-'Tax Tables'!$B$23,0),'Tax Tables'!$B$25)*'Tax Tables'!$B$26))*1-MIN('Tax Tables'!$B$22*(MAX(W219,0)-IF(Calculator!$B$10="Yes",MIN(MAX(W219,0),'Tax Tables'!$B$27)*'Tax Tables'!$B$28+MIN(MAX(MAX(W219,0)-'Tax Tables'!$B$27,0),'Tax Tables'!$B$29)*'Tax Tables'!$B$30,MIN(MAX(W219,0),'Tax Tables'!$B$23)*'Tax Tables'!$B$24+MIN(MAX(MAX(W219,0)-'Tax Tables'!$B$23,0),'Tax Tables'!$B$25)*'Tax Tables'!$B$26))*Calculator!$B$11,Calculator!$B$12)</f>
        <v>30267.65</v>
      </c>
      <c r="Y219" s="11" t="n">
        <f aca="false">MAX(W219,0)-X219</f>
        <v>250277.35</v>
      </c>
      <c r="Z219" s="11" t="n">
        <f aca="false">MIN(IF(P219&gt;0,Calculator!$B$13,0)+T219+Calculator!$B$14,'Tax Tables'!$B$36)</f>
        <v>20200</v>
      </c>
      <c r="AA219" s="11" t="n">
        <f aca="false">MAX(P219-Z219,0)</f>
        <v>82800</v>
      </c>
      <c r="AB219" s="11" t="n">
        <f aca="false">SUMPRODUCT((AA219&gt;'Tax Tables'!$A$5:$A$17)*(AA219-'Tax Tables'!$A$5:$A$17)*'Tax Tables'!$C$5:$C$17)</f>
        <v>3672</v>
      </c>
      <c r="AC219" s="11" t="n">
        <f aca="false">IF(W219&lt;0,-1E+099,P219-T219-AB219+Y219+(T219+U219)*Calculator!$B$9)</f>
        <v>365925.35</v>
      </c>
    </row>
    <row r="220" customFormat="false" ht="15" hidden="false" customHeight="false" outlineLevel="0" collapsed="false">
      <c r="A220" s="11" t="n">
        <f aca="false">207*$B$3</f>
        <v>103500</v>
      </c>
      <c r="B220" s="11" t="n">
        <f aca="false">0</f>
        <v>0</v>
      </c>
      <c r="C220" s="11" t="n">
        <f aca="false">A220-B220</f>
        <v>103500</v>
      </c>
      <c r="D220" s="11" t="n">
        <f aca="false">IF(Calculator!$B$6="Yes",MIN(B220,'Tax Tables'!$B$31*'Tax Tables'!$B$32),0)</f>
        <v>0</v>
      </c>
      <c r="E220" s="11" t="n">
        <f aca="false">D220*Calculator!$B$7</f>
        <v>0</v>
      </c>
      <c r="F220" s="11" t="n">
        <f aca="false">D220*Calculator!$B$8</f>
        <v>0</v>
      </c>
      <c r="G220" s="11" t="n">
        <f aca="false">IF(B220&gt;0,'Tax Tables'!$B$32*MIN(MAX(B220/'Tax Tables'!$B$32*'Tax Tables'!$B$33,'Tax Tables'!$B$34),'Tax Tables'!$B$35),0)</f>
        <v>0</v>
      </c>
      <c r="H220" s="11" t="n">
        <f aca="false">Calculator!$B$5-A220-F220-G220</f>
        <v>296500</v>
      </c>
      <c r="I220" s="11" t="n">
        <f aca="false">'Tax Tables'!$B$22*(MAX(H220,0)-IF(Calculator!$B$10="Yes",MIN(MAX(H220,0),'Tax Tables'!$B$27)*'Tax Tables'!$B$28+MIN(MAX(MAX(H220,0)-'Tax Tables'!$B$27,0),'Tax Tables'!$B$29)*'Tax Tables'!$B$30,MIN(MAX(H220,0),'Tax Tables'!$B$23)*'Tax Tables'!$B$24+MIN(MAX(MAX(H220,0)-'Tax Tables'!$B$23,0),'Tax Tables'!$B$25)*'Tax Tables'!$B$26))*1-MIN('Tax Tables'!$B$22*(MAX(H220,0)-IF(Calculator!$B$10="Yes",MIN(MAX(H220,0),'Tax Tables'!$B$27)*'Tax Tables'!$B$28+MIN(MAX(MAX(H220,0)-'Tax Tables'!$B$27,0),'Tax Tables'!$B$29)*'Tax Tables'!$B$30,MIN(MAX(H220,0),'Tax Tables'!$B$23)*'Tax Tables'!$B$24+MIN(MAX(MAX(H220,0)-'Tax Tables'!$B$23,0),'Tax Tables'!$B$25)*'Tax Tables'!$B$26))*Calculator!$B$11,Calculator!$B$12)</f>
        <v>32980</v>
      </c>
      <c r="J220" s="11" t="n">
        <f aca="false">MAX(H220,0)-I220</f>
        <v>263520</v>
      </c>
      <c r="K220" s="11" t="n">
        <f aca="false">MIN(IF(A220&gt;0,Calculator!$B$13,0)+E220+Calculator!$B$14,'Tax Tables'!$B$36)</f>
        <v>1000</v>
      </c>
      <c r="L220" s="11" t="n">
        <f aca="false">MAX(A220-K220,0)</f>
        <v>102500</v>
      </c>
      <c r="M220" s="11" t="n">
        <f aca="false">SUMPRODUCT((L220&gt;'Tax Tables'!$A$5:$A$17)*(L220-'Tax Tables'!$A$5:$A$17)*'Tax Tables'!$C$5:$C$17)</f>
        <v>5937.5</v>
      </c>
      <c r="N220" s="11" t="n">
        <f aca="false">IF(H220&lt;0,-1E+099,A220-E220-M220+J220+(E220+F220)*Calculator!$B$9)</f>
        <v>361082.5</v>
      </c>
      <c r="O220" s="2"/>
      <c r="P220" s="11" t="n">
        <f aca="false">207*$B$3</f>
        <v>103500</v>
      </c>
      <c r="Q220" s="11" t="n">
        <f aca="false">MIN(P220,'Tax Tables'!$B$31*'Tax Tables'!$B$32)</f>
        <v>96000</v>
      </c>
      <c r="R220" s="11" t="n">
        <f aca="false">P220-Q220</f>
        <v>7500</v>
      </c>
      <c r="S220" s="11" t="n">
        <f aca="false">IF(Calculator!$B$6="Yes",MIN(Q220,'Tax Tables'!$B$31*'Tax Tables'!$B$32),0)</f>
        <v>96000</v>
      </c>
      <c r="T220" s="11" t="n">
        <f aca="false">S220*Calculator!$B$7</f>
        <v>19200</v>
      </c>
      <c r="U220" s="11" t="n">
        <f aca="false">S220*Calculator!$B$8</f>
        <v>16320</v>
      </c>
      <c r="V220" s="11" t="n">
        <f aca="false">IF(Q220&gt;0,'Tax Tables'!$B$32*MIN(MAX(Q220/'Tax Tables'!$B$32*'Tax Tables'!$B$33,'Tax Tables'!$B$34),'Tax Tables'!$B$35),0)</f>
        <v>135</v>
      </c>
      <c r="W220" s="11" t="n">
        <f aca="false">Calculator!$B$5-P220-U220-V220</f>
        <v>280045</v>
      </c>
      <c r="X220" s="11" t="n">
        <f aca="false">'Tax Tables'!$B$22*(MAX(W220,0)-IF(Calculator!$B$10="Yes",MIN(MAX(W220,0),'Tax Tables'!$B$27)*'Tax Tables'!$B$28+MIN(MAX(MAX(W220,0)-'Tax Tables'!$B$27,0),'Tax Tables'!$B$29)*'Tax Tables'!$B$30,MIN(MAX(W220,0),'Tax Tables'!$B$23)*'Tax Tables'!$B$24+MIN(MAX(MAX(W220,0)-'Tax Tables'!$B$23,0),'Tax Tables'!$B$25)*'Tax Tables'!$B$26))*1-MIN('Tax Tables'!$B$22*(MAX(W220,0)-IF(Calculator!$B$10="Yes",MIN(MAX(W220,0),'Tax Tables'!$B$27)*'Tax Tables'!$B$28+MIN(MAX(MAX(W220,0)-'Tax Tables'!$B$27,0),'Tax Tables'!$B$29)*'Tax Tables'!$B$30,MIN(MAX(W220,0),'Tax Tables'!$B$23)*'Tax Tables'!$B$24+MIN(MAX(MAX(W220,0)-'Tax Tables'!$B$23,0),'Tax Tables'!$B$25)*'Tax Tables'!$B$26))*Calculator!$B$11,Calculator!$B$12)</f>
        <v>30182.65</v>
      </c>
      <c r="Y220" s="11" t="n">
        <f aca="false">MAX(W220,0)-X220</f>
        <v>249862.35</v>
      </c>
      <c r="Z220" s="11" t="n">
        <f aca="false">MIN(IF(P220&gt;0,Calculator!$B$13,0)+T220+Calculator!$B$14,'Tax Tables'!$B$36)</f>
        <v>20200</v>
      </c>
      <c r="AA220" s="11" t="n">
        <f aca="false">MAX(P220-Z220,0)</f>
        <v>83300</v>
      </c>
      <c r="AB220" s="11" t="n">
        <f aca="false">SUMPRODUCT((AA220&gt;'Tax Tables'!$A$5:$A$17)*(AA220-'Tax Tables'!$A$5:$A$17)*'Tax Tables'!$C$5:$C$17)</f>
        <v>3729.5</v>
      </c>
      <c r="AC220" s="11" t="n">
        <f aca="false">IF(W220&lt;0,-1E+099,P220-T220-AB220+Y220+(T220+U220)*Calculator!$B$9)</f>
        <v>365952.85</v>
      </c>
    </row>
    <row r="221" customFormat="false" ht="15" hidden="false" customHeight="false" outlineLevel="0" collapsed="false">
      <c r="A221" s="11" t="n">
        <f aca="false">208*$B$3</f>
        <v>104000</v>
      </c>
      <c r="B221" s="11" t="n">
        <f aca="false">0</f>
        <v>0</v>
      </c>
      <c r="C221" s="11" t="n">
        <f aca="false">A221-B221</f>
        <v>104000</v>
      </c>
      <c r="D221" s="11" t="n">
        <f aca="false">IF(Calculator!$B$6="Yes",MIN(B221,'Tax Tables'!$B$31*'Tax Tables'!$B$32),0)</f>
        <v>0</v>
      </c>
      <c r="E221" s="11" t="n">
        <f aca="false">D221*Calculator!$B$7</f>
        <v>0</v>
      </c>
      <c r="F221" s="11" t="n">
        <f aca="false">D221*Calculator!$B$8</f>
        <v>0</v>
      </c>
      <c r="G221" s="11" t="n">
        <f aca="false">IF(B221&gt;0,'Tax Tables'!$B$32*MIN(MAX(B221/'Tax Tables'!$B$32*'Tax Tables'!$B$33,'Tax Tables'!$B$34),'Tax Tables'!$B$35),0)</f>
        <v>0</v>
      </c>
      <c r="H221" s="11" t="n">
        <f aca="false">Calculator!$B$5-A221-F221-G221</f>
        <v>296000</v>
      </c>
      <c r="I221" s="11" t="n">
        <f aca="false">'Tax Tables'!$B$22*(MAX(H221,0)-IF(Calculator!$B$10="Yes",MIN(MAX(H221,0),'Tax Tables'!$B$27)*'Tax Tables'!$B$28+MIN(MAX(MAX(H221,0)-'Tax Tables'!$B$27,0),'Tax Tables'!$B$29)*'Tax Tables'!$B$30,MIN(MAX(H221,0),'Tax Tables'!$B$23)*'Tax Tables'!$B$24+MIN(MAX(MAX(H221,0)-'Tax Tables'!$B$23,0),'Tax Tables'!$B$25)*'Tax Tables'!$B$26))*1-MIN('Tax Tables'!$B$22*(MAX(H221,0)-IF(Calculator!$B$10="Yes",MIN(MAX(H221,0),'Tax Tables'!$B$27)*'Tax Tables'!$B$28+MIN(MAX(MAX(H221,0)-'Tax Tables'!$B$27,0),'Tax Tables'!$B$29)*'Tax Tables'!$B$30,MIN(MAX(H221,0),'Tax Tables'!$B$23)*'Tax Tables'!$B$24+MIN(MAX(MAX(H221,0)-'Tax Tables'!$B$23,0),'Tax Tables'!$B$25)*'Tax Tables'!$B$26))*Calculator!$B$11,Calculator!$B$12)</f>
        <v>32895</v>
      </c>
      <c r="J221" s="11" t="n">
        <f aca="false">MAX(H221,0)-I221</f>
        <v>263105</v>
      </c>
      <c r="K221" s="11" t="n">
        <f aca="false">MIN(IF(A221&gt;0,Calculator!$B$13,0)+E221+Calculator!$B$14,'Tax Tables'!$B$36)</f>
        <v>1000</v>
      </c>
      <c r="L221" s="11" t="n">
        <f aca="false">MAX(A221-K221,0)</f>
        <v>103000</v>
      </c>
      <c r="M221" s="11" t="n">
        <f aca="false">SUMPRODUCT((L221&gt;'Tax Tables'!$A$5:$A$17)*(L221-'Tax Tables'!$A$5:$A$17)*'Tax Tables'!$C$5:$C$17)</f>
        <v>5995</v>
      </c>
      <c r="N221" s="11" t="n">
        <f aca="false">IF(H221&lt;0,-1E+099,A221-E221-M221+J221+(E221+F221)*Calculator!$B$9)</f>
        <v>361110</v>
      </c>
      <c r="O221" s="2"/>
      <c r="P221" s="11" t="n">
        <f aca="false">208*$B$3</f>
        <v>104000</v>
      </c>
      <c r="Q221" s="11" t="n">
        <f aca="false">MIN(P221,'Tax Tables'!$B$31*'Tax Tables'!$B$32)</f>
        <v>96000</v>
      </c>
      <c r="R221" s="11" t="n">
        <f aca="false">P221-Q221</f>
        <v>8000</v>
      </c>
      <c r="S221" s="11" t="n">
        <f aca="false">IF(Calculator!$B$6="Yes",MIN(Q221,'Tax Tables'!$B$31*'Tax Tables'!$B$32),0)</f>
        <v>96000</v>
      </c>
      <c r="T221" s="11" t="n">
        <f aca="false">S221*Calculator!$B$7</f>
        <v>19200</v>
      </c>
      <c r="U221" s="11" t="n">
        <f aca="false">S221*Calculator!$B$8</f>
        <v>16320</v>
      </c>
      <c r="V221" s="11" t="n">
        <f aca="false">IF(Q221&gt;0,'Tax Tables'!$B$32*MIN(MAX(Q221/'Tax Tables'!$B$32*'Tax Tables'!$B$33,'Tax Tables'!$B$34),'Tax Tables'!$B$35),0)</f>
        <v>135</v>
      </c>
      <c r="W221" s="11" t="n">
        <f aca="false">Calculator!$B$5-P221-U221-V221</f>
        <v>279545</v>
      </c>
      <c r="X221" s="11" t="n">
        <f aca="false">'Tax Tables'!$B$22*(MAX(W221,0)-IF(Calculator!$B$10="Yes",MIN(MAX(W221,0),'Tax Tables'!$B$27)*'Tax Tables'!$B$28+MIN(MAX(MAX(W221,0)-'Tax Tables'!$B$27,0),'Tax Tables'!$B$29)*'Tax Tables'!$B$30,MIN(MAX(W221,0),'Tax Tables'!$B$23)*'Tax Tables'!$B$24+MIN(MAX(MAX(W221,0)-'Tax Tables'!$B$23,0),'Tax Tables'!$B$25)*'Tax Tables'!$B$26))*1-MIN('Tax Tables'!$B$22*(MAX(W221,0)-IF(Calculator!$B$10="Yes",MIN(MAX(W221,0),'Tax Tables'!$B$27)*'Tax Tables'!$B$28+MIN(MAX(MAX(W221,0)-'Tax Tables'!$B$27,0),'Tax Tables'!$B$29)*'Tax Tables'!$B$30,MIN(MAX(W221,0),'Tax Tables'!$B$23)*'Tax Tables'!$B$24+MIN(MAX(MAX(W221,0)-'Tax Tables'!$B$23,0),'Tax Tables'!$B$25)*'Tax Tables'!$B$26))*Calculator!$B$11,Calculator!$B$12)</f>
        <v>30097.65</v>
      </c>
      <c r="Y221" s="11" t="n">
        <f aca="false">MAX(W221,0)-X221</f>
        <v>249447.35</v>
      </c>
      <c r="Z221" s="11" t="n">
        <f aca="false">MIN(IF(P221&gt;0,Calculator!$B$13,0)+T221+Calculator!$B$14,'Tax Tables'!$B$36)</f>
        <v>20200</v>
      </c>
      <c r="AA221" s="11" t="n">
        <f aca="false">MAX(P221-Z221,0)</f>
        <v>83800</v>
      </c>
      <c r="AB221" s="11" t="n">
        <f aca="false">SUMPRODUCT((AA221&gt;'Tax Tables'!$A$5:$A$17)*(AA221-'Tax Tables'!$A$5:$A$17)*'Tax Tables'!$C$5:$C$17)</f>
        <v>3787</v>
      </c>
      <c r="AC221" s="11" t="n">
        <f aca="false">IF(W221&lt;0,-1E+099,P221-T221-AB221+Y221+(T221+U221)*Calculator!$B$9)</f>
        <v>365980.35</v>
      </c>
    </row>
    <row r="222" customFormat="false" ht="15" hidden="false" customHeight="false" outlineLevel="0" collapsed="false">
      <c r="A222" s="11" t="n">
        <f aca="false">209*$B$3</f>
        <v>104500</v>
      </c>
      <c r="B222" s="11" t="n">
        <f aca="false">0</f>
        <v>0</v>
      </c>
      <c r="C222" s="11" t="n">
        <f aca="false">A222-B222</f>
        <v>104500</v>
      </c>
      <c r="D222" s="11" t="n">
        <f aca="false">IF(Calculator!$B$6="Yes",MIN(B222,'Tax Tables'!$B$31*'Tax Tables'!$B$32),0)</f>
        <v>0</v>
      </c>
      <c r="E222" s="11" t="n">
        <f aca="false">D222*Calculator!$B$7</f>
        <v>0</v>
      </c>
      <c r="F222" s="11" t="n">
        <f aca="false">D222*Calculator!$B$8</f>
        <v>0</v>
      </c>
      <c r="G222" s="11" t="n">
        <f aca="false">IF(B222&gt;0,'Tax Tables'!$B$32*MIN(MAX(B222/'Tax Tables'!$B$32*'Tax Tables'!$B$33,'Tax Tables'!$B$34),'Tax Tables'!$B$35),0)</f>
        <v>0</v>
      </c>
      <c r="H222" s="11" t="n">
        <f aca="false">Calculator!$B$5-A222-F222-G222</f>
        <v>295500</v>
      </c>
      <c r="I222" s="11" t="n">
        <f aca="false">'Tax Tables'!$B$22*(MAX(H222,0)-IF(Calculator!$B$10="Yes",MIN(MAX(H222,0),'Tax Tables'!$B$27)*'Tax Tables'!$B$28+MIN(MAX(MAX(H222,0)-'Tax Tables'!$B$27,0),'Tax Tables'!$B$29)*'Tax Tables'!$B$30,MIN(MAX(H222,0),'Tax Tables'!$B$23)*'Tax Tables'!$B$24+MIN(MAX(MAX(H222,0)-'Tax Tables'!$B$23,0),'Tax Tables'!$B$25)*'Tax Tables'!$B$26))*1-MIN('Tax Tables'!$B$22*(MAX(H222,0)-IF(Calculator!$B$10="Yes",MIN(MAX(H222,0),'Tax Tables'!$B$27)*'Tax Tables'!$B$28+MIN(MAX(MAX(H222,0)-'Tax Tables'!$B$27,0),'Tax Tables'!$B$29)*'Tax Tables'!$B$30,MIN(MAX(H222,0),'Tax Tables'!$B$23)*'Tax Tables'!$B$24+MIN(MAX(MAX(H222,0)-'Tax Tables'!$B$23,0),'Tax Tables'!$B$25)*'Tax Tables'!$B$26))*Calculator!$B$11,Calculator!$B$12)</f>
        <v>32810</v>
      </c>
      <c r="J222" s="11" t="n">
        <f aca="false">MAX(H222,0)-I222</f>
        <v>262690</v>
      </c>
      <c r="K222" s="11" t="n">
        <f aca="false">MIN(IF(A222&gt;0,Calculator!$B$13,0)+E222+Calculator!$B$14,'Tax Tables'!$B$36)</f>
        <v>1000</v>
      </c>
      <c r="L222" s="11" t="n">
        <f aca="false">MAX(A222-K222,0)</f>
        <v>103500</v>
      </c>
      <c r="M222" s="11" t="n">
        <f aca="false">SUMPRODUCT((L222&gt;'Tax Tables'!$A$5:$A$17)*(L222-'Tax Tables'!$A$5:$A$17)*'Tax Tables'!$C$5:$C$17)</f>
        <v>6052.5</v>
      </c>
      <c r="N222" s="11" t="n">
        <f aca="false">IF(H222&lt;0,-1E+099,A222-E222-M222+J222+(E222+F222)*Calculator!$B$9)</f>
        <v>361137.5</v>
      </c>
      <c r="O222" s="2"/>
      <c r="P222" s="11" t="n">
        <f aca="false">209*$B$3</f>
        <v>104500</v>
      </c>
      <c r="Q222" s="11" t="n">
        <f aca="false">MIN(P222,'Tax Tables'!$B$31*'Tax Tables'!$B$32)</f>
        <v>96000</v>
      </c>
      <c r="R222" s="11" t="n">
        <f aca="false">P222-Q222</f>
        <v>8500</v>
      </c>
      <c r="S222" s="11" t="n">
        <f aca="false">IF(Calculator!$B$6="Yes",MIN(Q222,'Tax Tables'!$B$31*'Tax Tables'!$B$32),0)</f>
        <v>96000</v>
      </c>
      <c r="T222" s="11" t="n">
        <f aca="false">S222*Calculator!$B$7</f>
        <v>19200</v>
      </c>
      <c r="U222" s="11" t="n">
        <f aca="false">S222*Calculator!$B$8</f>
        <v>16320</v>
      </c>
      <c r="V222" s="11" t="n">
        <f aca="false">IF(Q222&gt;0,'Tax Tables'!$B$32*MIN(MAX(Q222/'Tax Tables'!$B$32*'Tax Tables'!$B$33,'Tax Tables'!$B$34),'Tax Tables'!$B$35),0)</f>
        <v>135</v>
      </c>
      <c r="W222" s="11" t="n">
        <f aca="false">Calculator!$B$5-P222-U222-V222</f>
        <v>279045</v>
      </c>
      <c r="X222" s="11" t="n">
        <f aca="false">'Tax Tables'!$B$22*(MAX(W222,0)-IF(Calculator!$B$10="Yes",MIN(MAX(W222,0),'Tax Tables'!$B$27)*'Tax Tables'!$B$28+MIN(MAX(MAX(W222,0)-'Tax Tables'!$B$27,0),'Tax Tables'!$B$29)*'Tax Tables'!$B$30,MIN(MAX(W222,0),'Tax Tables'!$B$23)*'Tax Tables'!$B$24+MIN(MAX(MAX(W222,0)-'Tax Tables'!$B$23,0),'Tax Tables'!$B$25)*'Tax Tables'!$B$26))*1-MIN('Tax Tables'!$B$22*(MAX(W222,0)-IF(Calculator!$B$10="Yes",MIN(MAX(W222,0),'Tax Tables'!$B$27)*'Tax Tables'!$B$28+MIN(MAX(MAX(W222,0)-'Tax Tables'!$B$27,0),'Tax Tables'!$B$29)*'Tax Tables'!$B$30,MIN(MAX(W222,0),'Tax Tables'!$B$23)*'Tax Tables'!$B$24+MIN(MAX(MAX(W222,0)-'Tax Tables'!$B$23,0),'Tax Tables'!$B$25)*'Tax Tables'!$B$26))*Calculator!$B$11,Calculator!$B$12)</f>
        <v>30012.65</v>
      </c>
      <c r="Y222" s="11" t="n">
        <f aca="false">MAX(W222,0)-X222</f>
        <v>249032.35</v>
      </c>
      <c r="Z222" s="11" t="n">
        <f aca="false">MIN(IF(P222&gt;0,Calculator!$B$13,0)+T222+Calculator!$B$14,'Tax Tables'!$B$36)</f>
        <v>20200</v>
      </c>
      <c r="AA222" s="11" t="n">
        <f aca="false">MAX(P222-Z222,0)</f>
        <v>84300</v>
      </c>
      <c r="AB222" s="11" t="n">
        <f aca="false">SUMPRODUCT((AA222&gt;'Tax Tables'!$A$5:$A$17)*(AA222-'Tax Tables'!$A$5:$A$17)*'Tax Tables'!$C$5:$C$17)</f>
        <v>3844.5</v>
      </c>
      <c r="AC222" s="11" t="n">
        <f aca="false">IF(W222&lt;0,-1E+099,P222-T222-AB222+Y222+(T222+U222)*Calculator!$B$9)</f>
        <v>366007.85</v>
      </c>
    </row>
    <row r="223" customFormat="false" ht="15" hidden="false" customHeight="false" outlineLevel="0" collapsed="false">
      <c r="A223" s="11" t="n">
        <f aca="false">210*$B$3</f>
        <v>105000</v>
      </c>
      <c r="B223" s="11" t="n">
        <f aca="false">0</f>
        <v>0</v>
      </c>
      <c r="C223" s="11" t="n">
        <f aca="false">A223-B223</f>
        <v>105000</v>
      </c>
      <c r="D223" s="11" t="n">
        <f aca="false">IF(Calculator!$B$6="Yes",MIN(B223,'Tax Tables'!$B$31*'Tax Tables'!$B$32),0)</f>
        <v>0</v>
      </c>
      <c r="E223" s="11" t="n">
        <f aca="false">D223*Calculator!$B$7</f>
        <v>0</v>
      </c>
      <c r="F223" s="11" t="n">
        <f aca="false">D223*Calculator!$B$8</f>
        <v>0</v>
      </c>
      <c r="G223" s="11" t="n">
        <f aca="false">IF(B223&gt;0,'Tax Tables'!$B$32*MIN(MAX(B223/'Tax Tables'!$B$32*'Tax Tables'!$B$33,'Tax Tables'!$B$34),'Tax Tables'!$B$35),0)</f>
        <v>0</v>
      </c>
      <c r="H223" s="11" t="n">
        <f aca="false">Calculator!$B$5-A223-F223-G223</f>
        <v>295000</v>
      </c>
      <c r="I223" s="11" t="n">
        <f aca="false">'Tax Tables'!$B$22*(MAX(H223,0)-IF(Calculator!$B$10="Yes",MIN(MAX(H223,0),'Tax Tables'!$B$27)*'Tax Tables'!$B$28+MIN(MAX(MAX(H223,0)-'Tax Tables'!$B$27,0),'Tax Tables'!$B$29)*'Tax Tables'!$B$30,MIN(MAX(H223,0),'Tax Tables'!$B$23)*'Tax Tables'!$B$24+MIN(MAX(MAX(H223,0)-'Tax Tables'!$B$23,0),'Tax Tables'!$B$25)*'Tax Tables'!$B$26))*1-MIN('Tax Tables'!$B$22*(MAX(H223,0)-IF(Calculator!$B$10="Yes",MIN(MAX(H223,0),'Tax Tables'!$B$27)*'Tax Tables'!$B$28+MIN(MAX(MAX(H223,0)-'Tax Tables'!$B$27,0),'Tax Tables'!$B$29)*'Tax Tables'!$B$30,MIN(MAX(H223,0),'Tax Tables'!$B$23)*'Tax Tables'!$B$24+MIN(MAX(MAX(H223,0)-'Tax Tables'!$B$23,0),'Tax Tables'!$B$25)*'Tax Tables'!$B$26))*Calculator!$B$11,Calculator!$B$12)</f>
        <v>32725</v>
      </c>
      <c r="J223" s="11" t="n">
        <f aca="false">MAX(H223,0)-I223</f>
        <v>262275</v>
      </c>
      <c r="K223" s="11" t="n">
        <f aca="false">MIN(IF(A223&gt;0,Calculator!$B$13,0)+E223+Calculator!$B$14,'Tax Tables'!$B$36)</f>
        <v>1000</v>
      </c>
      <c r="L223" s="11" t="n">
        <f aca="false">MAX(A223-K223,0)</f>
        <v>104000</v>
      </c>
      <c r="M223" s="11" t="n">
        <f aca="false">SUMPRODUCT((L223&gt;'Tax Tables'!$A$5:$A$17)*(L223-'Tax Tables'!$A$5:$A$17)*'Tax Tables'!$C$5:$C$17)</f>
        <v>6110</v>
      </c>
      <c r="N223" s="11" t="n">
        <f aca="false">IF(H223&lt;0,-1E+099,A223-E223-M223+J223+(E223+F223)*Calculator!$B$9)</f>
        <v>361165</v>
      </c>
      <c r="O223" s="2"/>
      <c r="P223" s="11" t="n">
        <f aca="false">210*$B$3</f>
        <v>105000</v>
      </c>
      <c r="Q223" s="11" t="n">
        <f aca="false">MIN(P223,'Tax Tables'!$B$31*'Tax Tables'!$B$32)</f>
        <v>96000</v>
      </c>
      <c r="R223" s="11" t="n">
        <f aca="false">P223-Q223</f>
        <v>9000</v>
      </c>
      <c r="S223" s="11" t="n">
        <f aca="false">IF(Calculator!$B$6="Yes",MIN(Q223,'Tax Tables'!$B$31*'Tax Tables'!$B$32),0)</f>
        <v>96000</v>
      </c>
      <c r="T223" s="11" t="n">
        <f aca="false">S223*Calculator!$B$7</f>
        <v>19200</v>
      </c>
      <c r="U223" s="11" t="n">
        <f aca="false">S223*Calculator!$B$8</f>
        <v>16320</v>
      </c>
      <c r="V223" s="11" t="n">
        <f aca="false">IF(Q223&gt;0,'Tax Tables'!$B$32*MIN(MAX(Q223/'Tax Tables'!$B$32*'Tax Tables'!$B$33,'Tax Tables'!$B$34),'Tax Tables'!$B$35),0)</f>
        <v>135</v>
      </c>
      <c r="W223" s="11" t="n">
        <f aca="false">Calculator!$B$5-P223-U223-V223</f>
        <v>278545</v>
      </c>
      <c r="X223" s="11" t="n">
        <f aca="false">'Tax Tables'!$B$22*(MAX(W223,0)-IF(Calculator!$B$10="Yes",MIN(MAX(W223,0),'Tax Tables'!$B$27)*'Tax Tables'!$B$28+MIN(MAX(MAX(W223,0)-'Tax Tables'!$B$27,0),'Tax Tables'!$B$29)*'Tax Tables'!$B$30,MIN(MAX(W223,0),'Tax Tables'!$B$23)*'Tax Tables'!$B$24+MIN(MAX(MAX(W223,0)-'Tax Tables'!$B$23,0),'Tax Tables'!$B$25)*'Tax Tables'!$B$26))*1-MIN('Tax Tables'!$B$22*(MAX(W223,0)-IF(Calculator!$B$10="Yes",MIN(MAX(W223,0),'Tax Tables'!$B$27)*'Tax Tables'!$B$28+MIN(MAX(MAX(W223,0)-'Tax Tables'!$B$27,0),'Tax Tables'!$B$29)*'Tax Tables'!$B$30,MIN(MAX(W223,0),'Tax Tables'!$B$23)*'Tax Tables'!$B$24+MIN(MAX(MAX(W223,0)-'Tax Tables'!$B$23,0),'Tax Tables'!$B$25)*'Tax Tables'!$B$26))*Calculator!$B$11,Calculator!$B$12)</f>
        <v>29927.65</v>
      </c>
      <c r="Y223" s="11" t="n">
        <f aca="false">MAX(W223,0)-X223</f>
        <v>248617.35</v>
      </c>
      <c r="Z223" s="11" t="n">
        <f aca="false">MIN(IF(P223&gt;0,Calculator!$B$13,0)+T223+Calculator!$B$14,'Tax Tables'!$B$36)</f>
        <v>20200</v>
      </c>
      <c r="AA223" s="11" t="n">
        <f aca="false">MAX(P223-Z223,0)</f>
        <v>84800</v>
      </c>
      <c r="AB223" s="11" t="n">
        <f aca="false">SUMPRODUCT((AA223&gt;'Tax Tables'!$A$5:$A$17)*(AA223-'Tax Tables'!$A$5:$A$17)*'Tax Tables'!$C$5:$C$17)</f>
        <v>3902</v>
      </c>
      <c r="AC223" s="11" t="n">
        <f aca="false">IF(W223&lt;0,-1E+099,P223-T223-AB223+Y223+(T223+U223)*Calculator!$B$9)</f>
        <v>366035.35</v>
      </c>
    </row>
    <row r="224" customFormat="false" ht="15" hidden="false" customHeight="false" outlineLevel="0" collapsed="false">
      <c r="A224" s="11" t="n">
        <f aca="false">211*$B$3</f>
        <v>105500</v>
      </c>
      <c r="B224" s="11" t="n">
        <f aca="false">0</f>
        <v>0</v>
      </c>
      <c r="C224" s="11" t="n">
        <f aca="false">A224-B224</f>
        <v>105500</v>
      </c>
      <c r="D224" s="11" t="n">
        <f aca="false">IF(Calculator!$B$6="Yes",MIN(B224,'Tax Tables'!$B$31*'Tax Tables'!$B$32),0)</f>
        <v>0</v>
      </c>
      <c r="E224" s="11" t="n">
        <f aca="false">D224*Calculator!$B$7</f>
        <v>0</v>
      </c>
      <c r="F224" s="11" t="n">
        <f aca="false">D224*Calculator!$B$8</f>
        <v>0</v>
      </c>
      <c r="G224" s="11" t="n">
        <f aca="false">IF(B224&gt;0,'Tax Tables'!$B$32*MIN(MAX(B224/'Tax Tables'!$B$32*'Tax Tables'!$B$33,'Tax Tables'!$B$34),'Tax Tables'!$B$35),0)</f>
        <v>0</v>
      </c>
      <c r="H224" s="11" t="n">
        <f aca="false">Calculator!$B$5-A224-F224-G224</f>
        <v>294500</v>
      </c>
      <c r="I224" s="11" t="n">
        <f aca="false">'Tax Tables'!$B$22*(MAX(H224,0)-IF(Calculator!$B$10="Yes",MIN(MAX(H224,0),'Tax Tables'!$B$27)*'Tax Tables'!$B$28+MIN(MAX(MAX(H224,0)-'Tax Tables'!$B$27,0),'Tax Tables'!$B$29)*'Tax Tables'!$B$30,MIN(MAX(H224,0),'Tax Tables'!$B$23)*'Tax Tables'!$B$24+MIN(MAX(MAX(H224,0)-'Tax Tables'!$B$23,0),'Tax Tables'!$B$25)*'Tax Tables'!$B$26))*1-MIN('Tax Tables'!$B$22*(MAX(H224,0)-IF(Calculator!$B$10="Yes",MIN(MAX(H224,0),'Tax Tables'!$B$27)*'Tax Tables'!$B$28+MIN(MAX(MAX(H224,0)-'Tax Tables'!$B$27,0),'Tax Tables'!$B$29)*'Tax Tables'!$B$30,MIN(MAX(H224,0),'Tax Tables'!$B$23)*'Tax Tables'!$B$24+MIN(MAX(MAX(H224,0)-'Tax Tables'!$B$23,0),'Tax Tables'!$B$25)*'Tax Tables'!$B$26))*Calculator!$B$11,Calculator!$B$12)</f>
        <v>32640</v>
      </c>
      <c r="J224" s="11" t="n">
        <f aca="false">MAX(H224,0)-I224</f>
        <v>261860</v>
      </c>
      <c r="K224" s="11" t="n">
        <f aca="false">MIN(IF(A224&gt;0,Calculator!$B$13,0)+E224+Calculator!$B$14,'Tax Tables'!$B$36)</f>
        <v>1000</v>
      </c>
      <c r="L224" s="11" t="n">
        <f aca="false">MAX(A224-K224,0)</f>
        <v>104500</v>
      </c>
      <c r="M224" s="11" t="n">
        <f aca="false">SUMPRODUCT((L224&gt;'Tax Tables'!$A$5:$A$17)*(L224-'Tax Tables'!$A$5:$A$17)*'Tax Tables'!$C$5:$C$17)</f>
        <v>6167.5</v>
      </c>
      <c r="N224" s="11" t="n">
        <f aca="false">IF(H224&lt;0,-1E+099,A224-E224-M224+J224+(E224+F224)*Calculator!$B$9)</f>
        <v>361192.5</v>
      </c>
      <c r="O224" s="2"/>
      <c r="P224" s="11" t="n">
        <f aca="false">211*$B$3</f>
        <v>105500</v>
      </c>
      <c r="Q224" s="11" t="n">
        <f aca="false">MIN(P224,'Tax Tables'!$B$31*'Tax Tables'!$B$32)</f>
        <v>96000</v>
      </c>
      <c r="R224" s="11" t="n">
        <f aca="false">P224-Q224</f>
        <v>9500</v>
      </c>
      <c r="S224" s="11" t="n">
        <f aca="false">IF(Calculator!$B$6="Yes",MIN(Q224,'Tax Tables'!$B$31*'Tax Tables'!$B$32),0)</f>
        <v>96000</v>
      </c>
      <c r="T224" s="11" t="n">
        <f aca="false">S224*Calculator!$B$7</f>
        <v>19200</v>
      </c>
      <c r="U224" s="11" t="n">
        <f aca="false">S224*Calculator!$B$8</f>
        <v>16320</v>
      </c>
      <c r="V224" s="11" t="n">
        <f aca="false">IF(Q224&gt;0,'Tax Tables'!$B$32*MIN(MAX(Q224/'Tax Tables'!$B$32*'Tax Tables'!$B$33,'Tax Tables'!$B$34),'Tax Tables'!$B$35),0)</f>
        <v>135</v>
      </c>
      <c r="W224" s="11" t="n">
        <f aca="false">Calculator!$B$5-P224-U224-V224</f>
        <v>278045</v>
      </c>
      <c r="X224" s="11" t="n">
        <f aca="false">'Tax Tables'!$B$22*(MAX(W224,0)-IF(Calculator!$B$10="Yes",MIN(MAX(W224,0),'Tax Tables'!$B$27)*'Tax Tables'!$B$28+MIN(MAX(MAX(W224,0)-'Tax Tables'!$B$27,0),'Tax Tables'!$B$29)*'Tax Tables'!$B$30,MIN(MAX(W224,0),'Tax Tables'!$B$23)*'Tax Tables'!$B$24+MIN(MAX(MAX(W224,0)-'Tax Tables'!$B$23,0),'Tax Tables'!$B$25)*'Tax Tables'!$B$26))*1-MIN('Tax Tables'!$B$22*(MAX(W224,0)-IF(Calculator!$B$10="Yes",MIN(MAX(W224,0),'Tax Tables'!$B$27)*'Tax Tables'!$B$28+MIN(MAX(MAX(W224,0)-'Tax Tables'!$B$27,0),'Tax Tables'!$B$29)*'Tax Tables'!$B$30,MIN(MAX(W224,0),'Tax Tables'!$B$23)*'Tax Tables'!$B$24+MIN(MAX(MAX(W224,0)-'Tax Tables'!$B$23,0),'Tax Tables'!$B$25)*'Tax Tables'!$B$26))*Calculator!$B$11,Calculator!$B$12)</f>
        <v>29842.65</v>
      </c>
      <c r="Y224" s="11" t="n">
        <f aca="false">MAX(W224,0)-X224</f>
        <v>248202.35</v>
      </c>
      <c r="Z224" s="11" t="n">
        <f aca="false">MIN(IF(P224&gt;0,Calculator!$B$13,0)+T224+Calculator!$B$14,'Tax Tables'!$B$36)</f>
        <v>20200</v>
      </c>
      <c r="AA224" s="11" t="n">
        <f aca="false">MAX(P224-Z224,0)</f>
        <v>85300</v>
      </c>
      <c r="AB224" s="11" t="n">
        <f aca="false">SUMPRODUCT((AA224&gt;'Tax Tables'!$A$5:$A$17)*(AA224-'Tax Tables'!$A$5:$A$17)*'Tax Tables'!$C$5:$C$17)</f>
        <v>3959.5</v>
      </c>
      <c r="AC224" s="11" t="n">
        <f aca="false">IF(W224&lt;0,-1E+099,P224-T224-AB224+Y224+(T224+U224)*Calculator!$B$9)</f>
        <v>366062.85</v>
      </c>
    </row>
    <row r="225" customFormat="false" ht="15" hidden="false" customHeight="false" outlineLevel="0" collapsed="false">
      <c r="A225" s="11" t="n">
        <f aca="false">212*$B$3</f>
        <v>106000</v>
      </c>
      <c r="B225" s="11" t="n">
        <f aca="false">0</f>
        <v>0</v>
      </c>
      <c r="C225" s="11" t="n">
        <f aca="false">A225-B225</f>
        <v>106000</v>
      </c>
      <c r="D225" s="11" t="n">
        <f aca="false">IF(Calculator!$B$6="Yes",MIN(B225,'Tax Tables'!$B$31*'Tax Tables'!$B$32),0)</f>
        <v>0</v>
      </c>
      <c r="E225" s="11" t="n">
        <f aca="false">D225*Calculator!$B$7</f>
        <v>0</v>
      </c>
      <c r="F225" s="11" t="n">
        <f aca="false">D225*Calculator!$B$8</f>
        <v>0</v>
      </c>
      <c r="G225" s="11" t="n">
        <f aca="false">IF(B225&gt;0,'Tax Tables'!$B$32*MIN(MAX(B225/'Tax Tables'!$B$32*'Tax Tables'!$B$33,'Tax Tables'!$B$34),'Tax Tables'!$B$35),0)</f>
        <v>0</v>
      </c>
      <c r="H225" s="11" t="n">
        <f aca="false">Calculator!$B$5-A225-F225-G225</f>
        <v>294000</v>
      </c>
      <c r="I225" s="11" t="n">
        <f aca="false">'Tax Tables'!$B$22*(MAX(H225,0)-IF(Calculator!$B$10="Yes",MIN(MAX(H225,0),'Tax Tables'!$B$27)*'Tax Tables'!$B$28+MIN(MAX(MAX(H225,0)-'Tax Tables'!$B$27,0),'Tax Tables'!$B$29)*'Tax Tables'!$B$30,MIN(MAX(H225,0),'Tax Tables'!$B$23)*'Tax Tables'!$B$24+MIN(MAX(MAX(H225,0)-'Tax Tables'!$B$23,0),'Tax Tables'!$B$25)*'Tax Tables'!$B$26))*1-MIN('Tax Tables'!$B$22*(MAX(H225,0)-IF(Calculator!$B$10="Yes",MIN(MAX(H225,0),'Tax Tables'!$B$27)*'Tax Tables'!$B$28+MIN(MAX(MAX(H225,0)-'Tax Tables'!$B$27,0),'Tax Tables'!$B$29)*'Tax Tables'!$B$30,MIN(MAX(H225,0),'Tax Tables'!$B$23)*'Tax Tables'!$B$24+MIN(MAX(MAX(H225,0)-'Tax Tables'!$B$23,0),'Tax Tables'!$B$25)*'Tax Tables'!$B$26))*Calculator!$B$11,Calculator!$B$12)</f>
        <v>32555</v>
      </c>
      <c r="J225" s="11" t="n">
        <f aca="false">MAX(H225,0)-I225</f>
        <v>261445</v>
      </c>
      <c r="K225" s="11" t="n">
        <f aca="false">MIN(IF(A225&gt;0,Calculator!$B$13,0)+E225+Calculator!$B$14,'Tax Tables'!$B$36)</f>
        <v>1000</v>
      </c>
      <c r="L225" s="11" t="n">
        <f aca="false">MAX(A225-K225,0)</f>
        <v>105000</v>
      </c>
      <c r="M225" s="11" t="n">
        <f aca="false">SUMPRODUCT((L225&gt;'Tax Tables'!$A$5:$A$17)*(L225-'Tax Tables'!$A$5:$A$17)*'Tax Tables'!$C$5:$C$17)</f>
        <v>6225</v>
      </c>
      <c r="N225" s="11" t="n">
        <f aca="false">IF(H225&lt;0,-1E+099,A225-E225-M225+J225+(E225+F225)*Calculator!$B$9)</f>
        <v>361220</v>
      </c>
      <c r="O225" s="2"/>
      <c r="P225" s="11" t="n">
        <f aca="false">212*$B$3</f>
        <v>106000</v>
      </c>
      <c r="Q225" s="11" t="n">
        <f aca="false">MIN(P225,'Tax Tables'!$B$31*'Tax Tables'!$B$32)</f>
        <v>96000</v>
      </c>
      <c r="R225" s="11" t="n">
        <f aca="false">P225-Q225</f>
        <v>10000</v>
      </c>
      <c r="S225" s="11" t="n">
        <f aca="false">IF(Calculator!$B$6="Yes",MIN(Q225,'Tax Tables'!$B$31*'Tax Tables'!$B$32),0)</f>
        <v>96000</v>
      </c>
      <c r="T225" s="11" t="n">
        <f aca="false">S225*Calculator!$B$7</f>
        <v>19200</v>
      </c>
      <c r="U225" s="11" t="n">
        <f aca="false">S225*Calculator!$B$8</f>
        <v>16320</v>
      </c>
      <c r="V225" s="11" t="n">
        <f aca="false">IF(Q225&gt;0,'Tax Tables'!$B$32*MIN(MAX(Q225/'Tax Tables'!$B$32*'Tax Tables'!$B$33,'Tax Tables'!$B$34),'Tax Tables'!$B$35),0)</f>
        <v>135</v>
      </c>
      <c r="W225" s="11" t="n">
        <f aca="false">Calculator!$B$5-P225-U225-V225</f>
        <v>277545</v>
      </c>
      <c r="X225" s="11" t="n">
        <f aca="false">'Tax Tables'!$B$22*(MAX(W225,0)-IF(Calculator!$B$10="Yes",MIN(MAX(W225,0),'Tax Tables'!$B$27)*'Tax Tables'!$B$28+MIN(MAX(MAX(W225,0)-'Tax Tables'!$B$27,0),'Tax Tables'!$B$29)*'Tax Tables'!$B$30,MIN(MAX(W225,0),'Tax Tables'!$B$23)*'Tax Tables'!$B$24+MIN(MAX(MAX(W225,0)-'Tax Tables'!$B$23,0),'Tax Tables'!$B$25)*'Tax Tables'!$B$26))*1-MIN('Tax Tables'!$B$22*(MAX(W225,0)-IF(Calculator!$B$10="Yes",MIN(MAX(W225,0),'Tax Tables'!$B$27)*'Tax Tables'!$B$28+MIN(MAX(MAX(W225,0)-'Tax Tables'!$B$27,0),'Tax Tables'!$B$29)*'Tax Tables'!$B$30,MIN(MAX(W225,0),'Tax Tables'!$B$23)*'Tax Tables'!$B$24+MIN(MAX(MAX(W225,0)-'Tax Tables'!$B$23,0),'Tax Tables'!$B$25)*'Tax Tables'!$B$26))*Calculator!$B$11,Calculator!$B$12)</f>
        <v>29757.65</v>
      </c>
      <c r="Y225" s="11" t="n">
        <f aca="false">MAX(W225,0)-X225</f>
        <v>247787.35</v>
      </c>
      <c r="Z225" s="11" t="n">
        <f aca="false">MIN(IF(P225&gt;0,Calculator!$B$13,0)+T225+Calculator!$B$14,'Tax Tables'!$B$36)</f>
        <v>20200</v>
      </c>
      <c r="AA225" s="11" t="n">
        <f aca="false">MAX(P225-Z225,0)</f>
        <v>85800</v>
      </c>
      <c r="AB225" s="11" t="n">
        <f aca="false">SUMPRODUCT((AA225&gt;'Tax Tables'!$A$5:$A$17)*(AA225-'Tax Tables'!$A$5:$A$17)*'Tax Tables'!$C$5:$C$17)</f>
        <v>4017</v>
      </c>
      <c r="AC225" s="11" t="n">
        <f aca="false">IF(W225&lt;0,-1E+099,P225-T225-AB225+Y225+(T225+U225)*Calculator!$B$9)</f>
        <v>366090.35</v>
      </c>
    </row>
    <row r="226" customFormat="false" ht="15" hidden="false" customHeight="false" outlineLevel="0" collapsed="false">
      <c r="A226" s="11" t="n">
        <f aca="false">213*$B$3</f>
        <v>106500</v>
      </c>
      <c r="B226" s="11" t="n">
        <f aca="false">0</f>
        <v>0</v>
      </c>
      <c r="C226" s="11" t="n">
        <f aca="false">A226-B226</f>
        <v>106500</v>
      </c>
      <c r="D226" s="11" t="n">
        <f aca="false">IF(Calculator!$B$6="Yes",MIN(B226,'Tax Tables'!$B$31*'Tax Tables'!$B$32),0)</f>
        <v>0</v>
      </c>
      <c r="E226" s="11" t="n">
        <f aca="false">D226*Calculator!$B$7</f>
        <v>0</v>
      </c>
      <c r="F226" s="11" t="n">
        <f aca="false">D226*Calculator!$B$8</f>
        <v>0</v>
      </c>
      <c r="G226" s="11" t="n">
        <f aca="false">IF(B226&gt;0,'Tax Tables'!$B$32*MIN(MAX(B226/'Tax Tables'!$B$32*'Tax Tables'!$B$33,'Tax Tables'!$B$34),'Tax Tables'!$B$35),0)</f>
        <v>0</v>
      </c>
      <c r="H226" s="11" t="n">
        <f aca="false">Calculator!$B$5-A226-F226-G226</f>
        <v>293500</v>
      </c>
      <c r="I226" s="11" t="n">
        <f aca="false">'Tax Tables'!$B$22*(MAX(H226,0)-IF(Calculator!$B$10="Yes",MIN(MAX(H226,0),'Tax Tables'!$B$27)*'Tax Tables'!$B$28+MIN(MAX(MAX(H226,0)-'Tax Tables'!$B$27,0),'Tax Tables'!$B$29)*'Tax Tables'!$B$30,MIN(MAX(H226,0),'Tax Tables'!$B$23)*'Tax Tables'!$B$24+MIN(MAX(MAX(H226,0)-'Tax Tables'!$B$23,0),'Tax Tables'!$B$25)*'Tax Tables'!$B$26))*1-MIN('Tax Tables'!$B$22*(MAX(H226,0)-IF(Calculator!$B$10="Yes",MIN(MAX(H226,0),'Tax Tables'!$B$27)*'Tax Tables'!$B$28+MIN(MAX(MAX(H226,0)-'Tax Tables'!$B$27,0),'Tax Tables'!$B$29)*'Tax Tables'!$B$30,MIN(MAX(H226,0),'Tax Tables'!$B$23)*'Tax Tables'!$B$24+MIN(MAX(MAX(H226,0)-'Tax Tables'!$B$23,0),'Tax Tables'!$B$25)*'Tax Tables'!$B$26))*Calculator!$B$11,Calculator!$B$12)</f>
        <v>32470</v>
      </c>
      <c r="J226" s="11" t="n">
        <f aca="false">MAX(H226,0)-I226</f>
        <v>261030</v>
      </c>
      <c r="K226" s="11" t="n">
        <f aca="false">MIN(IF(A226&gt;0,Calculator!$B$13,0)+E226+Calculator!$B$14,'Tax Tables'!$B$36)</f>
        <v>1000</v>
      </c>
      <c r="L226" s="11" t="n">
        <f aca="false">MAX(A226-K226,0)</f>
        <v>105500</v>
      </c>
      <c r="M226" s="11" t="n">
        <f aca="false">SUMPRODUCT((L226&gt;'Tax Tables'!$A$5:$A$17)*(L226-'Tax Tables'!$A$5:$A$17)*'Tax Tables'!$C$5:$C$17)</f>
        <v>6282.5</v>
      </c>
      <c r="N226" s="11" t="n">
        <f aca="false">IF(H226&lt;0,-1E+099,A226-E226-M226+J226+(E226+F226)*Calculator!$B$9)</f>
        <v>361247.5</v>
      </c>
      <c r="O226" s="2"/>
      <c r="P226" s="11" t="n">
        <f aca="false">213*$B$3</f>
        <v>106500</v>
      </c>
      <c r="Q226" s="11" t="n">
        <f aca="false">MIN(P226,'Tax Tables'!$B$31*'Tax Tables'!$B$32)</f>
        <v>96000</v>
      </c>
      <c r="R226" s="11" t="n">
        <f aca="false">P226-Q226</f>
        <v>10500</v>
      </c>
      <c r="S226" s="11" t="n">
        <f aca="false">IF(Calculator!$B$6="Yes",MIN(Q226,'Tax Tables'!$B$31*'Tax Tables'!$B$32),0)</f>
        <v>96000</v>
      </c>
      <c r="T226" s="11" t="n">
        <f aca="false">S226*Calculator!$B$7</f>
        <v>19200</v>
      </c>
      <c r="U226" s="11" t="n">
        <f aca="false">S226*Calculator!$B$8</f>
        <v>16320</v>
      </c>
      <c r="V226" s="11" t="n">
        <f aca="false">IF(Q226&gt;0,'Tax Tables'!$B$32*MIN(MAX(Q226/'Tax Tables'!$B$32*'Tax Tables'!$B$33,'Tax Tables'!$B$34),'Tax Tables'!$B$35),0)</f>
        <v>135</v>
      </c>
      <c r="W226" s="11" t="n">
        <f aca="false">Calculator!$B$5-P226-U226-V226</f>
        <v>277045</v>
      </c>
      <c r="X226" s="11" t="n">
        <f aca="false">'Tax Tables'!$B$22*(MAX(W226,0)-IF(Calculator!$B$10="Yes",MIN(MAX(W226,0),'Tax Tables'!$B$27)*'Tax Tables'!$B$28+MIN(MAX(MAX(W226,0)-'Tax Tables'!$B$27,0),'Tax Tables'!$B$29)*'Tax Tables'!$B$30,MIN(MAX(W226,0),'Tax Tables'!$B$23)*'Tax Tables'!$B$24+MIN(MAX(MAX(W226,0)-'Tax Tables'!$B$23,0),'Tax Tables'!$B$25)*'Tax Tables'!$B$26))*1-MIN('Tax Tables'!$B$22*(MAX(W226,0)-IF(Calculator!$B$10="Yes",MIN(MAX(W226,0),'Tax Tables'!$B$27)*'Tax Tables'!$B$28+MIN(MAX(MAX(W226,0)-'Tax Tables'!$B$27,0),'Tax Tables'!$B$29)*'Tax Tables'!$B$30,MIN(MAX(W226,0),'Tax Tables'!$B$23)*'Tax Tables'!$B$24+MIN(MAX(MAX(W226,0)-'Tax Tables'!$B$23,0),'Tax Tables'!$B$25)*'Tax Tables'!$B$26))*Calculator!$B$11,Calculator!$B$12)</f>
        <v>29672.65</v>
      </c>
      <c r="Y226" s="11" t="n">
        <f aca="false">MAX(W226,0)-X226</f>
        <v>247372.35</v>
      </c>
      <c r="Z226" s="11" t="n">
        <f aca="false">MIN(IF(P226&gt;0,Calculator!$B$13,0)+T226+Calculator!$B$14,'Tax Tables'!$B$36)</f>
        <v>20200</v>
      </c>
      <c r="AA226" s="11" t="n">
        <f aca="false">MAX(P226-Z226,0)</f>
        <v>86300</v>
      </c>
      <c r="AB226" s="11" t="n">
        <f aca="false">SUMPRODUCT((AA226&gt;'Tax Tables'!$A$5:$A$17)*(AA226-'Tax Tables'!$A$5:$A$17)*'Tax Tables'!$C$5:$C$17)</f>
        <v>4074.5</v>
      </c>
      <c r="AC226" s="11" t="n">
        <f aca="false">IF(W226&lt;0,-1E+099,P226-T226-AB226+Y226+(T226+U226)*Calculator!$B$9)</f>
        <v>366117.85</v>
      </c>
    </row>
    <row r="227" customFormat="false" ht="15" hidden="false" customHeight="false" outlineLevel="0" collapsed="false">
      <c r="A227" s="11" t="n">
        <f aca="false">214*$B$3</f>
        <v>107000</v>
      </c>
      <c r="B227" s="11" t="n">
        <f aca="false">0</f>
        <v>0</v>
      </c>
      <c r="C227" s="11" t="n">
        <f aca="false">A227-B227</f>
        <v>107000</v>
      </c>
      <c r="D227" s="11" t="n">
        <f aca="false">IF(Calculator!$B$6="Yes",MIN(B227,'Tax Tables'!$B$31*'Tax Tables'!$B$32),0)</f>
        <v>0</v>
      </c>
      <c r="E227" s="11" t="n">
        <f aca="false">D227*Calculator!$B$7</f>
        <v>0</v>
      </c>
      <c r="F227" s="11" t="n">
        <f aca="false">D227*Calculator!$B$8</f>
        <v>0</v>
      </c>
      <c r="G227" s="11" t="n">
        <f aca="false">IF(B227&gt;0,'Tax Tables'!$B$32*MIN(MAX(B227/'Tax Tables'!$B$32*'Tax Tables'!$B$33,'Tax Tables'!$B$34),'Tax Tables'!$B$35),0)</f>
        <v>0</v>
      </c>
      <c r="H227" s="11" t="n">
        <f aca="false">Calculator!$B$5-A227-F227-G227</f>
        <v>293000</v>
      </c>
      <c r="I227" s="11" t="n">
        <f aca="false">'Tax Tables'!$B$22*(MAX(H227,0)-IF(Calculator!$B$10="Yes",MIN(MAX(H227,0),'Tax Tables'!$B$27)*'Tax Tables'!$B$28+MIN(MAX(MAX(H227,0)-'Tax Tables'!$B$27,0),'Tax Tables'!$B$29)*'Tax Tables'!$B$30,MIN(MAX(H227,0),'Tax Tables'!$B$23)*'Tax Tables'!$B$24+MIN(MAX(MAX(H227,0)-'Tax Tables'!$B$23,0),'Tax Tables'!$B$25)*'Tax Tables'!$B$26))*1-MIN('Tax Tables'!$B$22*(MAX(H227,0)-IF(Calculator!$B$10="Yes",MIN(MAX(H227,0),'Tax Tables'!$B$27)*'Tax Tables'!$B$28+MIN(MAX(MAX(H227,0)-'Tax Tables'!$B$27,0),'Tax Tables'!$B$29)*'Tax Tables'!$B$30,MIN(MAX(H227,0),'Tax Tables'!$B$23)*'Tax Tables'!$B$24+MIN(MAX(MAX(H227,0)-'Tax Tables'!$B$23,0),'Tax Tables'!$B$25)*'Tax Tables'!$B$26))*Calculator!$B$11,Calculator!$B$12)</f>
        <v>32385</v>
      </c>
      <c r="J227" s="11" t="n">
        <f aca="false">MAX(H227,0)-I227</f>
        <v>260615</v>
      </c>
      <c r="K227" s="11" t="n">
        <f aca="false">MIN(IF(A227&gt;0,Calculator!$B$13,0)+E227+Calculator!$B$14,'Tax Tables'!$B$36)</f>
        <v>1000</v>
      </c>
      <c r="L227" s="11" t="n">
        <f aca="false">MAX(A227-K227,0)</f>
        <v>106000</v>
      </c>
      <c r="M227" s="11" t="n">
        <f aca="false">SUMPRODUCT((L227&gt;'Tax Tables'!$A$5:$A$17)*(L227-'Tax Tables'!$A$5:$A$17)*'Tax Tables'!$C$5:$C$17)</f>
        <v>6340</v>
      </c>
      <c r="N227" s="11" t="n">
        <f aca="false">IF(H227&lt;0,-1E+099,A227-E227-M227+J227+(E227+F227)*Calculator!$B$9)</f>
        <v>361275</v>
      </c>
      <c r="O227" s="2"/>
      <c r="P227" s="11" t="n">
        <f aca="false">214*$B$3</f>
        <v>107000</v>
      </c>
      <c r="Q227" s="11" t="n">
        <f aca="false">MIN(P227,'Tax Tables'!$B$31*'Tax Tables'!$B$32)</f>
        <v>96000</v>
      </c>
      <c r="R227" s="11" t="n">
        <f aca="false">P227-Q227</f>
        <v>11000</v>
      </c>
      <c r="S227" s="11" t="n">
        <f aca="false">IF(Calculator!$B$6="Yes",MIN(Q227,'Tax Tables'!$B$31*'Tax Tables'!$B$32),0)</f>
        <v>96000</v>
      </c>
      <c r="T227" s="11" t="n">
        <f aca="false">S227*Calculator!$B$7</f>
        <v>19200</v>
      </c>
      <c r="U227" s="11" t="n">
        <f aca="false">S227*Calculator!$B$8</f>
        <v>16320</v>
      </c>
      <c r="V227" s="11" t="n">
        <f aca="false">IF(Q227&gt;0,'Tax Tables'!$B$32*MIN(MAX(Q227/'Tax Tables'!$B$32*'Tax Tables'!$B$33,'Tax Tables'!$B$34),'Tax Tables'!$B$35),0)</f>
        <v>135</v>
      </c>
      <c r="W227" s="11" t="n">
        <f aca="false">Calculator!$B$5-P227-U227-V227</f>
        <v>276545</v>
      </c>
      <c r="X227" s="11" t="n">
        <f aca="false">'Tax Tables'!$B$22*(MAX(W227,0)-IF(Calculator!$B$10="Yes",MIN(MAX(W227,0),'Tax Tables'!$B$27)*'Tax Tables'!$B$28+MIN(MAX(MAX(W227,0)-'Tax Tables'!$B$27,0),'Tax Tables'!$B$29)*'Tax Tables'!$B$30,MIN(MAX(W227,0),'Tax Tables'!$B$23)*'Tax Tables'!$B$24+MIN(MAX(MAX(W227,0)-'Tax Tables'!$B$23,0),'Tax Tables'!$B$25)*'Tax Tables'!$B$26))*1-MIN('Tax Tables'!$B$22*(MAX(W227,0)-IF(Calculator!$B$10="Yes",MIN(MAX(W227,0),'Tax Tables'!$B$27)*'Tax Tables'!$B$28+MIN(MAX(MAX(W227,0)-'Tax Tables'!$B$27,0),'Tax Tables'!$B$29)*'Tax Tables'!$B$30,MIN(MAX(W227,0),'Tax Tables'!$B$23)*'Tax Tables'!$B$24+MIN(MAX(MAX(W227,0)-'Tax Tables'!$B$23,0),'Tax Tables'!$B$25)*'Tax Tables'!$B$26))*Calculator!$B$11,Calculator!$B$12)</f>
        <v>29587.65</v>
      </c>
      <c r="Y227" s="11" t="n">
        <f aca="false">MAX(W227,0)-X227</f>
        <v>246957.35</v>
      </c>
      <c r="Z227" s="11" t="n">
        <f aca="false">MIN(IF(P227&gt;0,Calculator!$B$13,0)+T227+Calculator!$B$14,'Tax Tables'!$B$36)</f>
        <v>20200</v>
      </c>
      <c r="AA227" s="11" t="n">
        <f aca="false">MAX(P227-Z227,0)</f>
        <v>86800</v>
      </c>
      <c r="AB227" s="11" t="n">
        <f aca="false">SUMPRODUCT((AA227&gt;'Tax Tables'!$A$5:$A$17)*(AA227-'Tax Tables'!$A$5:$A$17)*'Tax Tables'!$C$5:$C$17)</f>
        <v>4132</v>
      </c>
      <c r="AC227" s="11" t="n">
        <f aca="false">IF(W227&lt;0,-1E+099,P227-T227-AB227+Y227+(T227+U227)*Calculator!$B$9)</f>
        <v>366145.35</v>
      </c>
    </row>
    <row r="228" customFormat="false" ht="15" hidden="false" customHeight="false" outlineLevel="0" collapsed="false">
      <c r="A228" s="11" t="n">
        <f aca="false">215*$B$3</f>
        <v>107500</v>
      </c>
      <c r="B228" s="11" t="n">
        <f aca="false">0</f>
        <v>0</v>
      </c>
      <c r="C228" s="11" t="n">
        <f aca="false">A228-B228</f>
        <v>107500</v>
      </c>
      <c r="D228" s="11" t="n">
        <f aca="false">IF(Calculator!$B$6="Yes",MIN(B228,'Tax Tables'!$B$31*'Tax Tables'!$B$32),0)</f>
        <v>0</v>
      </c>
      <c r="E228" s="11" t="n">
        <f aca="false">D228*Calculator!$B$7</f>
        <v>0</v>
      </c>
      <c r="F228" s="11" t="n">
        <f aca="false">D228*Calculator!$B$8</f>
        <v>0</v>
      </c>
      <c r="G228" s="11" t="n">
        <f aca="false">IF(B228&gt;0,'Tax Tables'!$B$32*MIN(MAX(B228/'Tax Tables'!$B$32*'Tax Tables'!$B$33,'Tax Tables'!$B$34),'Tax Tables'!$B$35),0)</f>
        <v>0</v>
      </c>
      <c r="H228" s="11" t="n">
        <f aca="false">Calculator!$B$5-A228-F228-G228</f>
        <v>292500</v>
      </c>
      <c r="I228" s="11" t="n">
        <f aca="false">'Tax Tables'!$B$22*(MAX(H228,0)-IF(Calculator!$B$10="Yes",MIN(MAX(H228,0),'Tax Tables'!$B$27)*'Tax Tables'!$B$28+MIN(MAX(MAX(H228,0)-'Tax Tables'!$B$27,0),'Tax Tables'!$B$29)*'Tax Tables'!$B$30,MIN(MAX(H228,0),'Tax Tables'!$B$23)*'Tax Tables'!$B$24+MIN(MAX(MAX(H228,0)-'Tax Tables'!$B$23,0),'Tax Tables'!$B$25)*'Tax Tables'!$B$26))*1-MIN('Tax Tables'!$B$22*(MAX(H228,0)-IF(Calculator!$B$10="Yes",MIN(MAX(H228,0),'Tax Tables'!$B$27)*'Tax Tables'!$B$28+MIN(MAX(MAX(H228,0)-'Tax Tables'!$B$27,0),'Tax Tables'!$B$29)*'Tax Tables'!$B$30,MIN(MAX(H228,0),'Tax Tables'!$B$23)*'Tax Tables'!$B$24+MIN(MAX(MAX(H228,0)-'Tax Tables'!$B$23,0),'Tax Tables'!$B$25)*'Tax Tables'!$B$26))*Calculator!$B$11,Calculator!$B$12)</f>
        <v>32300</v>
      </c>
      <c r="J228" s="11" t="n">
        <f aca="false">MAX(H228,0)-I228</f>
        <v>260200</v>
      </c>
      <c r="K228" s="11" t="n">
        <f aca="false">MIN(IF(A228&gt;0,Calculator!$B$13,0)+E228+Calculator!$B$14,'Tax Tables'!$B$36)</f>
        <v>1000</v>
      </c>
      <c r="L228" s="11" t="n">
        <f aca="false">MAX(A228-K228,0)</f>
        <v>106500</v>
      </c>
      <c r="M228" s="11" t="n">
        <f aca="false">SUMPRODUCT((L228&gt;'Tax Tables'!$A$5:$A$17)*(L228-'Tax Tables'!$A$5:$A$17)*'Tax Tables'!$C$5:$C$17)</f>
        <v>6397.5</v>
      </c>
      <c r="N228" s="11" t="n">
        <f aca="false">IF(H228&lt;0,-1E+099,A228-E228-M228+J228+(E228+F228)*Calculator!$B$9)</f>
        <v>361302.5</v>
      </c>
      <c r="O228" s="2"/>
      <c r="P228" s="11" t="n">
        <f aca="false">215*$B$3</f>
        <v>107500</v>
      </c>
      <c r="Q228" s="11" t="n">
        <f aca="false">MIN(P228,'Tax Tables'!$B$31*'Tax Tables'!$B$32)</f>
        <v>96000</v>
      </c>
      <c r="R228" s="11" t="n">
        <f aca="false">P228-Q228</f>
        <v>11500</v>
      </c>
      <c r="S228" s="11" t="n">
        <f aca="false">IF(Calculator!$B$6="Yes",MIN(Q228,'Tax Tables'!$B$31*'Tax Tables'!$B$32),0)</f>
        <v>96000</v>
      </c>
      <c r="T228" s="11" t="n">
        <f aca="false">S228*Calculator!$B$7</f>
        <v>19200</v>
      </c>
      <c r="U228" s="11" t="n">
        <f aca="false">S228*Calculator!$B$8</f>
        <v>16320</v>
      </c>
      <c r="V228" s="11" t="n">
        <f aca="false">IF(Q228&gt;0,'Tax Tables'!$B$32*MIN(MAX(Q228/'Tax Tables'!$B$32*'Tax Tables'!$B$33,'Tax Tables'!$B$34),'Tax Tables'!$B$35),0)</f>
        <v>135</v>
      </c>
      <c r="W228" s="11" t="n">
        <f aca="false">Calculator!$B$5-P228-U228-V228</f>
        <v>276045</v>
      </c>
      <c r="X228" s="11" t="n">
        <f aca="false">'Tax Tables'!$B$22*(MAX(W228,0)-IF(Calculator!$B$10="Yes",MIN(MAX(W228,0),'Tax Tables'!$B$27)*'Tax Tables'!$B$28+MIN(MAX(MAX(W228,0)-'Tax Tables'!$B$27,0),'Tax Tables'!$B$29)*'Tax Tables'!$B$30,MIN(MAX(W228,0),'Tax Tables'!$B$23)*'Tax Tables'!$B$24+MIN(MAX(MAX(W228,0)-'Tax Tables'!$B$23,0),'Tax Tables'!$B$25)*'Tax Tables'!$B$26))*1-MIN('Tax Tables'!$B$22*(MAX(W228,0)-IF(Calculator!$B$10="Yes",MIN(MAX(W228,0),'Tax Tables'!$B$27)*'Tax Tables'!$B$28+MIN(MAX(MAX(W228,0)-'Tax Tables'!$B$27,0),'Tax Tables'!$B$29)*'Tax Tables'!$B$30,MIN(MAX(W228,0),'Tax Tables'!$B$23)*'Tax Tables'!$B$24+MIN(MAX(MAX(W228,0)-'Tax Tables'!$B$23,0),'Tax Tables'!$B$25)*'Tax Tables'!$B$26))*Calculator!$B$11,Calculator!$B$12)</f>
        <v>29502.65</v>
      </c>
      <c r="Y228" s="11" t="n">
        <f aca="false">MAX(W228,0)-X228</f>
        <v>246542.35</v>
      </c>
      <c r="Z228" s="11" t="n">
        <f aca="false">MIN(IF(P228&gt;0,Calculator!$B$13,0)+T228+Calculator!$B$14,'Tax Tables'!$B$36)</f>
        <v>20200</v>
      </c>
      <c r="AA228" s="11" t="n">
        <f aca="false">MAX(P228-Z228,0)</f>
        <v>87300</v>
      </c>
      <c r="AB228" s="11" t="n">
        <f aca="false">SUMPRODUCT((AA228&gt;'Tax Tables'!$A$5:$A$17)*(AA228-'Tax Tables'!$A$5:$A$17)*'Tax Tables'!$C$5:$C$17)</f>
        <v>4189.5</v>
      </c>
      <c r="AC228" s="11" t="n">
        <f aca="false">IF(W228&lt;0,-1E+099,P228-T228-AB228+Y228+(T228+U228)*Calculator!$B$9)</f>
        <v>366172.85</v>
      </c>
    </row>
    <row r="229" customFormat="false" ht="15" hidden="false" customHeight="false" outlineLevel="0" collapsed="false">
      <c r="A229" s="11" t="n">
        <f aca="false">216*$B$3</f>
        <v>108000</v>
      </c>
      <c r="B229" s="11" t="n">
        <f aca="false">0</f>
        <v>0</v>
      </c>
      <c r="C229" s="11" t="n">
        <f aca="false">A229-B229</f>
        <v>108000</v>
      </c>
      <c r="D229" s="11" t="n">
        <f aca="false">IF(Calculator!$B$6="Yes",MIN(B229,'Tax Tables'!$B$31*'Tax Tables'!$B$32),0)</f>
        <v>0</v>
      </c>
      <c r="E229" s="11" t="n">
        <f aca="false">D229*Calculator!$B$7</f>
        <v>0</v>
      </c>
      <c r="F229" s="11" t="n">
        <f aca="false">D229*Calculator!$B$8</f>
        <v>0</v>
      </c>
      <c r="G229" s="11" t="n">
        <f aca="false">IF(B229&gt;0,'Tax Tables'!$B$32*MIN(MAX(B229/'Tax Tables'!$B$32*'Tax Tables'!$B$33,'Tax Tables'!$B$34),'Tax Tables'!$B$35),0)</f>
        <v>0</v>
      </c>
      <c r="H229" s="11" t="n">
        <f aca="false">Calculator!$B$5-A229-F229-G229</f>
        <v>292000</v>
      </c>
      <c r="I229" s="11" t="n">
        <f aca="false">'Tax Tables'!$B$22*(MAX(H229,0)-IF(Calculator!$B$10="Yes",MIN(MAX(H229,0),'Tax Tables'!$B$27)*'Tax Tables'!$B$28+MIN(MAX(MAX(H229,0)-'Tax Tables'!$B$27,0),'Tax Tables'!$B$29)*'Tax Tables'!$B$30,MIN(MAX(H229,0),'Tax Tables'!$B$23)*'Tax Tables'!$B$24+MIN(MAX(MAX(H229,0)-'Tax Tables'!$B$23,0),'Tax Tables'!$B$25)*'Tax Tables'!$B$26))*1-MIN('Tax Tables'!$B$22*(MAX(H229,0)-IF(Calculator!$B$10="Yes",MIN(MAX(H229,0),'Tax Tables'!$B$27)*'Tax Tables'!$B$28+MIN(MAX(MAX(H229,0)-'Tax Tables'!$B$27,0),'Tax Tables'!$B$29)*'Tax Tables'!$B$30,MIN(MAX(H229,0),'Tax Tables'!$B$23)*'Tax Tables'!$B$24+MIN(MAX(MAX(H229,0)-'Tax Tables'!$B$23,0),'Tax Tables'!$B$25)*'Tax Tables'!$B$26))*Calculator!$B$11,Calculator!$B$12)</f>
        <v>32215</v>
      </c>
      <c r="J229" s="11" t="n">
        <f aca="false">MAX(H229,0)-I229</f>
        <v>259785</v>
      </c>
      <c r="K229" s="11" t="n">
        <f aca="false">MIN(IF(A229&gt;0,Calculator!$B$13,0)+E229+Calculator!$B$14,'Tax Tables'!$B$36)</f>
        <v>1000</v>
      </c>
      <c r="L229" s="11" t="n">
        <f aca="false">MAX(A229-K229,0)</f>
        <v>107000</v>
      </c>
      <c r="M229" s="11" t="n">
        <f aca="false">SUMPRODUCT((L229&gt;'Tax Tables'!$A$5:$A$17)*(L229-'Tax Tables'!$A$5:$A$17)*'Tax Tables'!$C$5:$C$17)</f>
        <v>6455</v>
      </c>
      <c r="N229" s="11" t="n">
        <f aca="false">IF(H229&lt;0,-1E+099,A229-E229-M229+J229+(E229+F229)*Calculator!$B$9)</f>
        <v>361330</v>
      </c>
      <c r="O229" s="2"/>
      <c r="P229" s="11" t="n">
        <f aca="false">216*$B$3</f>
        <v>108000</v>
      </c>
      <c r="Q229" s="11" t="n">
        <f aca="false">MIN(P229,'Tax Tables'!$B$31*'Tax Tables'!$B$32)</f>
        <v>96000</v>
      </c>
      <c r="R229" s="11" t="n">
        <f aca="false">P229-Q229</f>
        <v>12000</v>
      </c>
      <c r="S229" s="11" t="n">
        <f aca="false">IF(Calculator!$B$6="Yes",MIN(Q229,'Tax Tables'!$B$31*'Tax Tables'!$B$32),0)</f>
        <v>96000</v>
      </c>
      <c r="T229" s="11" t="n">
        <f aca="false">S229*Calculator!$B$7</f>
        <v>19200</v>
      </c>
      <c r="U229" s="11" t="n">
        <f aca="false">S229*Calculator!$B$8</f>
        <v>16320</v>
      </c>
      <c r="V229" s="11" t="n">
        <f aca="false">IF(Q229&gt;0,'Tax Tables'!$B$32*MIN(MAX(Q229/'Tax Tables'!$B$32*'Tax Tables'!$B$33,'Tax Tables'!$B$34),'Tax Tables'!$B$35),0)</f>
        <v>135</v>
      </c>
      <c r="W229" s="11" t="n">
        <f aca="false">Calculator!$B$5-P229-U229-V229</f>
        <v>275545</v>
      </c>
      <c r="X229" s="11" t="n">
        <f aca="false">'Tax Tables'!$B$22*(MAX(W229,0)-IF(Calculator!$B$10="Yes",MIN(MAX(W229,0),'Tax Tables'!$B$27)*'Tax Tables'!$B$28+MIN(MAX(MAX(W229,0)-'Tax Tables'!$B$27,0),'Tax Tables'!$B$29)*'Tax Tables'!$B$30,MIN(MAX(W229,0),'Tax Tables'!$B$23)*'Tax Tables'!$B$24+MIN(MAX(MAX(W229,0)-'Tax Tables'!$B$23,0),'Tax Tables'!$B$25)*'Tax Tables'!$B$26))*1-MIN('Tax Tables'!$B$22*(MAX(W229,0)-IF(Calculator!$B$10="Yes",MIN(MAX(W229,0),'Tax Tables'!$B$27)*'Tax Tables'!$B$28+MIN(MAX(MAX(W229,0)-'Tax Tables'!$B$27,0),'Tax Tables'!$B$29)*'Tax Tables'!$B$30,MIN(MAX(W229,0),'Tax Tables'!$B$23)*'Tax Tables'!$B$24+MIN(MAX(MAX(W229,0)-'Tax Tables'!$B$23,0),'Tax Tables'!$B$25)*'Tax Tables'!$B$26))*Calculator!$B$11,Calculator!$B$12)</f>
        <v>29417.65</v>
      </c>
      <c r="Y229" s="11" t="n">
        <f aca="false">MAX(W229,0)-X229</f>
        <v>246127.35</v>
      </c>
      <c r="Z229" s="11" t="n">
        <f aca="false">MIN(IF(P229&gt;0,Calculator!$B$13,0)+T229+Calculator!$B$14,'Tax Tables'!$B$36)</f>
        <v>20200</v>
      </c>
      <c r="AA229" s="11" t="n">
        <f aca="false">MAX(P229-Z229,0)</f>
        <v>87800</v>
      </c>
      <c r="AB229" s="11" t="n">
        <f aca="false">SUMPRODUCT((AA229&gt;'Tax Tables'!$A$5:$A$17)*(AA229-'Tax Tables'!$A$5:$A$17)*'Tax Tables'!$C$5:$C$17)</f>
        <v>4247</v>
      </c>
      <c r="AC229" s="11" t="n">
        <f aca="false">IF(W229&lt;0,-1E+099,P229-T229-AB229+Y229+(T229+U229)*Calculator!$B$9)</f>
        <v>366200.35</v>
      </c>
    </row>
    <row r="230" customFormat="false" ht="15" hidden="false" customHeight="false" outlineLevel="0" collapsed="false">
      <c r="A230" s="11" t="n">
        <f aca="false">217*$B$3</f>
        <v>108500</v>
      </c>
      <c r="B230" s="11" t="n">
        <f aca="false">0</f>
        <v>0</v>
      </c>
      <c r="C230" s="11" t="n">
        <f aca="false">A230-B230</f>
        <v>108500</v>
      </c>
      <c r="D230" s="11" t="n">
        <f aca="false">IF(Calculator!$B$6="Yes",MIN(B230,'Tax Tables'!$B$31*'Tax Tables'!$B$32),0)</f>
        <v>0</v>
      </c>
      <c r="E230" s="11" t="n">
        <f aca="false">D230*Calculator!$B$7</f>
        <v>0</v>
      </c>
      <c r="F230" s="11" t="n">
        <f aca="false">D230*Calculator!$B$8</f>
        <v>0</v>
      </c>
      <c r="G230" s="11" t="n">
        <f aca="false">IF(B230&gt;0,'Tax Tables'!$B$32*MIN(MAX(B230/'Tax Tables'!$B$32*'Tax Tables'!$B$33,'Tax Tables'!$B$34),'Tax Tables'!$B$35),0)</f>
        <v>0</v>
      </c>
      <c r="H230" s="11" t="n">
        <f aca="false">Calculator!$B$5-A230-F230-G230</f>
        <v>291500</v>
      </c>
      <c r="I230" s="11" t="n">
        <f aca="false">'Tax Tables'!$B$22*(MAX(H230,0)-IF(Calculator!$B$10="Yes",MIN(MAX(H230,0),'Tax Tables'!$B$27)*'Tax Tables'!$B$28+MIN(MAX(MAX(H230,0)-'Tax Tables'!$B$27,0),'Tax Tables'!$B$29)*'Tax Tables'!$B$30,MIN(MAX(H230,0),'Tax Tables'!$B$23)*'Tax Tables'!$B$24+MIN(MAX(MAX(H230,0)-'Tax Tables'!$B$23,0),'Tax Tables'!$B$25)*'Tax Tables'!$B$26))*1-MIN('Tax Tables'!$B$22*(MAX(H230,0)-IF(Calculator!$B$10="Yes",MIN(MAX(H230,0),'Tax Tables'!$B$27)*'Tax Tables'!$B$28+MIN(MAX(MAX(H230,0)-'Tax Tables'!$B$27,0),'Tax Tables'!$B$29)*'Tax Tables'!$B$30,MIN(MAX(H230,0),'Tax Tables'!$B$23)*'Tax Tables'!$B$24+MIN(MAX(MAX(H230,0)-'Tax Tables'!$B$23,0),'Tax Tables'!$B$25)*'Tax Tables'!$B$26))*Calculator!$B$11,Calculator!$B$12)</f>
        <v>32130</v>
      </c>
      <c r="J230" s="11" t="n">
        <f aca="false">MAX(H230,0)-I230</f>
        <v>259370</v>
      </c>
      <c r="K230" s="11" t="n">
        <f aca="false">MIN(IF(A230&gt;0,Calculator!$B$13,0)+E230+Calculator!$B$14,'Tax Tables'!$B$36)</f>
        <v>1000</v>
      </c>
      <c r="L230" s="11" t="n">
        <f aca="false">MAX(A230-K230,0)</f>
        <v>107500</v>
      </c>
      <c r="M230" s="11" t="n">
        <f aca="false">SUMPRODUCT((L230&gt;'Tax Tables'!$A$5:$A$17)*(L230-'Tax Tables'!$A$5:$A$17)*'Tax Tables'!$C$5:$C$17)</f>
        <v>6512.5</v>
      </c>
      <c r="N230" s="11" t="n">
        <f aca="false">IF(H230&lt;0,-1E+099,A230-E230-M230+J230+(E230+F230)*Calculator!$B$9)</f>
        <v>361357.5</v>
      </c>
      <c r="O230" s="2"/>
      <c r="P230" s="11" t="n">
        <f aca="false">217*$B$3</f>
        <v>108500</v>
      </c>
      <c r="Q230" s="11" t="n">
        <f aca="false">MIN(P230,'Tax Tables'!$B$31*'Tax Tables'!$B$32)</f>
        <v>96000</v>
      </c>
      <c r="R230" s="11" t="n">
        <f aca="false">P230-Q230</f>
        <v>12500</v>
      </c>
      <c r="S230" s="11" t="n">
        <f aca="false">IF(Calculator!$B$6="Yes",MIN(Q230,'Tax Tables'!$B$31*'Tax Tables'!$B$32),0)</f>
        <v>96000</v>
      </c>
      <c r="T230" s="11" t="n">
        <f aca="false">S230*Calculator!$B$7</f>
        <v>19200</v>
      </c>
      <c r="U230" s="11" t="n">
        <f aca="false">S230*Calculator!$B$8</f>
        <v>16320</v>
      </c>
      <c r="V230" s="11" t="n">
        <f aca="false">IF(Q230&gt;0,'Tax Tables'!$B$32*MIN(MAX(Q230/'Tax Tables'!$B$32*'Tax Tables'!$B$33,'Tax Tables'!$B$34),'Tax Tables'!$B$35),0)</f>
        <v>135</v>
      </c>
      <c r="W230" s="11" t="n">
        <f aca="false">Calculator!$B$5-P230-U230-V230</f>
        <v>275045</v>
      </c>
      <c r="X230" s="11" t="n">
        <f aca="false">'Tax Tables'!$B$22*(MAX(W230,0)-IF(Calculator!$B$10="Yes",MIN(MAX(W230,0),'Tax Tables'!$B$27)*'Tax Tables'!$B$28+MIN(MAX(MAX(W230,0)-'Tax Tables'!$B$27,0),'Tax Tables'!$B$29)*'Tax Tables'!$B$30,MIN(MAX(W230,0),'Tax Tables'!$B$23)*'Tax Tables'!$B$24+MIN(MAX(MAX(W230,0)-'Tax Tables'!$B$23,0),'Tax Tables'!$B$25)*'Tax Tables'!$B$26))*1-MIN('Tax Tables'!$B$22*(MAX(W230,0)-IF(Calculator!$B$10="Yes",MIN(MAX(W230,0),'Tax Tables'!$B$27)*'Tax Tables'!$B$28+MIN(MAX(MAX(W230,0)-'Tax Tables'!$B$27,0),'Tax Tables'!$B$29)*'Tax Tables'!$B$30,MIN(MAX(W230,0),'Tax Tables'!$B$23)*'Tax Tables'!$B$24+MIN(MAX(MAX(W230,0)-'Tax Tables'!$B$23,0),'Tax Tables'!$B$25)*'Tax Tables'!$B$26))*Calculator!$B$11,Calculator!$B$12)</f>
        <v>29332.65</v>
      </c>
      <c r="Y230" s="11" t="n">
        <f aca="false">MAX(W230,0)-X230</f>
        <v>245712.35</v>
      </c>
      <c r="Z230" s="11" t="n">
        <f aca="false">MIN(IF(P230&gt;0,Calculator!$B$13,0)+T230+Calculator!$B$14,'Tax Tables'!$B$36)</f>
        <v>20200</v>
      </c>
      <c r="AA230" s="11" t="n">
        <f aca="false">MAX(P230-Z230,0)</f>
        <v>88300</v>
      </c>
      <c r="AB230" s="11" t="n">
        <f aca="false">SUMPRODUCT((AA230&gt;'Tax Tables'!$A$5:$A$17)*(AA230-'Tax Tables'!$A$5:$A$17)*'Tax Tables'!$C$5:$C$17)</f>
        <v>4304.5</v>
      </c>
      <c r="AC230" s="11" t="n">
        <f aca="false">IF(W230&lt;0,-1E+099,P230-T230-AB230+Y230+(T230+U230)*Calculator!$B$9)</f>
        <v>366227.85</v>
      </c>
    </row>
    <row r="231" customFormat="false" ht="15" hidden="false" customHeight="false" outlineLevel="0" collapsed="false">
      <c r="A231" s="11" t="n">
        <f aca="false">218*$B$3</f>
        <v>109000</v>
      </c>
      <c r="B231" s="11" t="n">
        <f aca="false">0</f>
        <v>0</v>
      </c>
      <c r="C231" s="11" t="n">
        <f aca="false">A231-B231</f>
        <v>109000</v>
      </c>
      <c r="D231" s="11" t="n">
        <f aca="false">IF(Calculator!$B$6="Yes",MIN(B231,'Tax Tables'!$B$31*'Tax Tables'!$B$32),0)</f>
        <v>0</v>
      </c>
      <c r="E231" s="11" t="n">
        <f aca="false">D231*Calculator!$B$7</f>
        <v>0</v>
      </c>
      <c r="F231" s="11" t="n">
        <f aca="false">D231*Calculator!$B$8</f>
        <v>0</v>
      </c>
      <c r="G231" s="11" t="n">
        <f aca="false">IF(B231&gt;0,'Tax Tables'!$B$32*MIN(MAX(B231/'Tax Tables'!$B$32*'Tax Tables'!$B$33,'Tax Tables'!$B$34),'Tax Tables'!$B$35),0)</f>
        <v>0</v>
      </c>
      <c r="H231" s="11" t="n">
        <f aca="false">Calculator!$B$5-A231-F231-G231</f>
        <v>291000</v>
      </c>
      <c r="I231" s="11" t="n">
        <f aca="false">'Tax Tables'!$B$22*(MAX(H231,0)-IF(Calculator!$B$10="Yes",MIN(MAX(H231,0),'Tax Tables'!$B$27)*'Tax Tables'!$B$28+MIN(MAX(MAX(H231,0)-'Tax Tables'!$B$27,0),'Tax Tables'!$B$29)*'Tax Tables'!$B$30,MIN(MAX(H231,0),'Tax Tables'!$B$23)*'Tax Tables'!$B$24+MIN(MAX(MAX(H231,0)-'Tax Tables'!$B$23,0),'Tax Tables'!$B$25)*'Tax Tables'!$B$26))*1-MIN('Tax Tables'!$B$22*(MAX(H231,0)-IF(Calculator!$B$10="Yes",MIN(MAX(H231,0),'Tax Tables'!$B$27)*'Tax Tables'!$B$28+MIN(MAX(MAX(H231,0)-'Tax Tables'!$B$27,0),'Tax Tables'!$B$29)*'Tax Tables'!$B$30,MIN(MAX(H231,0),'Tax Tables'!$B$23)*'Tax Tables'!$B$24+MIN(MAX(MAX(H231,0)-'Tax Tables'!$B$23,0),'Tax Tables'!$B$25)*'Tax Tables'!$B$26))*Calculator!$B$11,Calculator!$B$12)</f>
        <v>32045</v>
      </c>
      <c r="J231" s="11" t="n">
        <f aca="false">MAX(H231,0)-I231</f>
        <v>258955</v>
      </c>
      <c r="K231" s="11" t="n">
        <f aca="false">MIN(IF(A231&gt;0,Calculator!$B$13,0)+E231+Calculator!$B$14,'Tax Tables'!$B$36)</f>
        <v>1000</v>
      </c>
      <c r="L231" s="11" t="n">
        <f aca="false">MAX(A231-K231,0)</f>
        <v>108000</v>
      </c>
      <c r="M231" s="11" t="n">
        <f aca="false">SUMPRODUCT((L231&gt;'Tax Tables'!$A$5:$A$17)*(L231-'Tax Tables'!$A$5:$A$17)*'Tax Tables'!$C$5:$C$17)</f>
        <v>6570</v>
      </c>
      <c r="N231" s="11" t="n">
        <f aca="false">IF(H231&lt;0,-1E+099,A231-E231-M231+J231+(E231+F231)*Calculator!$B$9)</f>
        <v>361385</v>
      </c>
      <c r="O231" s="2"/>
      <c r="P231" s="11" t="n">
        <f aca="false">218*$B$3</f>
        <v>109000</v>
      </c>
      <c r="Q231" s="11" t="n">
        <f aca="false">MIN(P231,'Tax Tables'!$B$31*'Tax Tables'!$B$32)</f>
        <v>96000</v>
      </c>
      <c r="R231" s="11" t="n">
        <f aca="false">P231-Q231</f>
        <v>13000</v>
      </c>
      <c r="S231" s="11" t="n">
        <f aca="false">IF(Calculator!$B$6="Yes",MIN(Q231,'Tax Tables'!$B$31*'Tax Tables'!$B$32),0)</f>
        <v>96000</v>
      </c>
      <c r="T231" s="11" t="n">
        <f aca="false">S231*Calculator!$B$7</f>
        <v>19200</v>
      </c>
      <c r="U231" s="11" t="n">
        <f aca="false">S231*Calculator!$B$8</f>
        <v>16320</v>
      </c>
      <c r="V231" s="11" t="n">
        <f aca="false">IF(Q231&gt;0,'Tax Tables'!$B$32*MIN(MAX(Q231/'Tax Tables'!$B$32*'Tax Tables'!$B$33,'Tax Tables'!$B$34),'Tax Tables'!$B$35),0)</f>
        <v>135</v>
      </c>
      <c r="W231" s="11" t="n">
        <f aca="false">Calculator!$B$5-P231-U231-V231</f>
        <v>274545</v>
      </c>
      <c r="X231" s="11" t="n">
        <f aca="false">'Tax Tables'!$B$22*(MAX(W231,0)-IF(Calculator!$B$10="Yes",MIN(MAX(W231,0),'Tax Tables'!$B$27)*'Tax Tables'!$B$28+MIN(MAX(MAX(W231,0)-'Tax Tables'!$B$27,0),'Tax Tables'!$B$29)*'Tax Tables'!$B$30,MIN(MAX(W231,0),'Tax Tables'!$B$23)*'Tax Tables'!$B$24+MIN(MAX(MAX(W231,0)-'Tax Tables'!$B$23,0),'Tax Tables'!$B$25)*'Tax Tables'!$B$26))*1-MIN('Tax Tables'!$B$22*(MAX(W231,0)-IF(Calculator!$B$10="Yes",MIN(MAX(W231,0),'Tax Tables'!$B$27)*'Tax Tables'!$B$28+MIN(MAX(MAX(W231,0)-'Tax Tables'!$B$27,0),'Tax Tables'!$B$29)*'Tax Tables'!$B$30,MIN(MAX(W231,0),'Tax Tables'!$B$23)*'Tax Tables'!$B$24+MIN(MAX(MAX(W231,0)-'Tax Tables'!$B$23,0),'Tax Tables'!$B$25)*'Tax Tables'!$B$26))*Calculator!$B$11,Calculator!$B$12)</f>
        <v>29247.65</v>
      </c>
      <c r="Y231" s="11" t="n">
        <f aca="false">MAX(W231,0)-X231</f>
        <v>245297.35</v>
      </c>
      <c r="Z231" s="11" t="n">
        <f aca="false">MIN(IF(P231&gt;0,Calculator!$B$13,0)+T231+Calculator!$B$14,'Tax Tables'!$B$36)</f>
        <v>20200</v>
      </c>
      <c r="AA231" s="11" t="n">
        <f aca="false">MAX(P231-Z231,0)</f>
        <v>88800</v>
      </c>
      <c r="AB231" s="11" t="n">
        <f aca="false">SUMPRODUCT((AA231&gt;'Tax Tables'!$A$5:$A$17)*(AA231-'Tax Tables'!$A$5:$A$17)*'Tax Tables'!$C$5:$C$17)</f>
        <v>4362</v>
      </c>
      <c r="AC231" s="11" t="n">
        <f aca="false">IF(W231&lt;0,-1E+099,P231-T231-AB231+Y231+(T231+U231)*Calculator!$B$9)</f>
        <v>366255.35</v>
      </c>
    </row>
    <row r="232" customFormat="false" ht="15" hidden="false" customHeight="false" outlineLevel="0" collapsed="false">
      <c r="A232" s="11" t="n">
        <f aca="false">219*$B$3</f>
        <v>109500</v>
      </c>
      <c r="B232" s="11" t="n">
        <f aca="false">0</f>
        <v>0</v>
      </c>
      <c r="C232" s="11" t="n">
        <f aca="false">A232-B232</f>
        <v>109500</v>
      </c>
      <c r="D232" s="11" t="n">
        <f aca="false">IF(Calculator!$B$6="Yes",MIN(B232,'Tax Tables'!$B$31*'Tax Tables'!$B$32),0)</f>
        <v>0</v>
      </c>
      <c r="E232" s="11" t="n">
        <f aca="false">D232*Calculator!$B$7</f>
        <v>0</v>
      </c>
      <c r="F232" s="11" t="n">
        <f aca="false">D232*Calculator!$B$8</f>
        <v>0</v>
      </c>
      <c r="G232" s="11" t="n">
        <f aca="false">IF(B232&gt;0,'Tax Tables'!$B$32*MIN(MAX(B232/'Tax Tables'!$B$32*'Tax Tables'!$B$33,'Tax Tables'!$B$34),'Tax Tables'!$B$35),0)</f>
        <v>0</v>
      </c>
      <c r="H232" s="11" t="n">
        <f aca="false">Calculator!$B$5-A232-F232-G232</f>
        <v>290500</v>
      </c>
      <c r="I232" s="11" t="n">
        <f aca="false">'Tax Tables'!$B$22*(MAX(H232,0)-IF(Calculator!$B$10="Yes",MIN(MAX(H232,0),'Tax Tables'!$B$27)*'Tax Tables'!$B$28+MIN(MAX(MAX(H232,0)-'Tax Tables'!$B$27,0),'Tax Tables'!$B$29)*'Tax Tables'!$B$30,MIN(MAX(H232,0),'Tax Tables'!$B$23)*'Tax Tables'!$B$24+MIN(MAX(MAX(H232,0)-'Tax Tables'!$B$23,0),'Tax Tables'!$B$25)*'Tax Tables'!$B$26))*1-MIN('Tax Tables'!$B$22*(MAX(H232,0)-IF(Calculator!$B$10="Yes",MIN(MAX(H232,0),'Tax Tables'!$B$27)*'Tax Tables'!$B$28+MIN(MAX(MAX(H232,0)-'Tax Tables'!$B$27,0),'Tax Tables'!$B$29)*'Tax Tables'!$B$30,MIN(MAX(H232,0),'Tax Tables'!$B$23)*'Tax Tables'!$B$24+MIN(MAX(MAX(H232,0)-'Tax Tables'!$B$23,0),'Tax Tables'!$B$25)*'Tax Tables'!$B$26))*Calculator!$B$11,Calculator!$B$12)</f>
        <v>31960</v>
      </c>
      <c r="J232" s="11" t="n">
        <f aca="false">MAX(H232,0)-I232</f>
        <v>258540</v>
      </c>
      <c r="K232" s="11" t="n">
        <f aca="false">MIN(IF(A232&gt;0,Calculator!$B$13,0)+E232+Calculator!$B$14,'Tax Tables'!$B$36)</f>
        <v>1000</v>
      </c>
      <c r="L232" s="11" t="n">
        <f aca="false">MAX(A232-K232,0)</f>
        <v>108500</v>
      </c>
      <c r="M232" s="11" t="n">
        <f aca="false">SUMPRODUCT((L232&gt;'Tax Tables'!$A$5:$A$17)*(L232-'Tax Tables'!$A$5:$A$17)*'Tax Tables'!$C$5:$C$17)</f>
        <v>6627.5</v>
      </c>
      <c r="N232" s="11" t="n">
        <f aca="false">IF(H232&lt;0,-1E+099,A232-E232-M232+J232+(E232+F232)*Calculator!$B$9)</f>
        <v>361412.5</v>
      </c>
      <c r="O232" s="2"/>
      <c r="P232" s="11" t="n">
        <f aca="false">219*$B$3</f>
        <v>109500</v>
      </c>
      <c r="Q232" s="11" t="n">
        <f aca="false">MIN(P232,'Tax Tables'!$B$31*'Tax Tables'!$B$32)</f>
        <v>96000</v>
      </c>
      <c r="R232" s="11" t="n">
        <f aca="false">P232-Q232</f>
        <v>13500</v>
      </c>
      <c r="S232" s="11" t="n">
        <f aca="false">IF(Calculator!$B$6="Yes",MIN(Q232,'Tax Tables'!$B$31*'Tax Tables'!$B$32),0)</f>
        <v>96000</v>
      </c>
      <c r="T232" s="11" t="n">
        <f aca="false">S232*Calculator!$B$7</f>
        <v>19200</v>
      </c>
      <c r="U232" s="11" t="n">
        <f aca="false">S232*Calculator!$B$8</f>
        <v>16320</v>
      </c>
      <c r="V232" s="11" t="n">
        <f aca="false">IF(Q232&gt;0,'Tax Tables'!$B$32*MIN(MAX(Q232/'Tax Tables'!$B$32*'Tax Tables'!$B$33,'Tax Tables'!$B$34),'Tax Tables'!$B$35),0)</f>
        <v>135</v>
      </c>
      <c r="W232" s="11" t="n">
        <f aca="false">Calculator!$B$5-P232-U232-V232</f>
        <v>274045</v>
      </c>
      <c r="X232" s="11" t="n">
        <f aca="false">'Tax Tables'!$B$22*(MAX(W232,0)-IF(Calculator!$B$10="Yes",MIN(MAX(W232,0),'Tax Tables'!$B$27)*'Tax Tables'!$B$28+MIN(MAX(MAX(W232,0)-'Tax Tables'!$B$27,0),'Tax Tables'!$B$29)*'Tax Tables'!$B$30,MIN(MAX(W232,0),'Tax Tables'!$B$23)*'Tax Tables'!$B$24+MIN(MAX(MAX(W232,0)-'Tax Tables'!$B$23,0),'Tax Tables'!$B$25)*'Tax Tables'!$B$26))*1-MIN('Tax Tables'!$B$22*(MAX(W232,0)-IF(Calculator!$B$10="Yes",MIN(MAX(W232,0),'Tax Tables'!$B$27)*'Tax Tables'!$B$28+MIN(MAX(MAX(W232,0)-'Tax Tables'!$B$27,0),'Tax Tables'!$B$29)*'Tax Tables'!$B$30,MIN(MAX(W232,0),'Tax Tables'!$B$23)*'Tax Tables'!$B$24+MIN(MAX(MAX(W232,0)-'Tax Tables'!$B$23,0),'Tax Tables'!$B$25)*'Tax Tables'!$B$26))*Calculator!$B$11,Calculator!$B$12)</f>
        <v>29162.65</v>
      </c>
      <c r="Y232" s="11" t="n">
        <f aca="false">MAX(W232,0)-X232</f>
        <v>244882.35</v>
      </c>
      <c r="Z232" s="11" t="n">
        <f aca="false">MIN(IF(P232&gt;0,Calculator!$B$13,0)+T232+Calculator!$B$14,'Tax Tables'!$B$36)</f>
        <v>20200</v>
      </c>
      <c r="AA232" s="11" t="n">
        <f aca="false">MAX(P232-Z232,0)</f>
        <v>89300</v>
      </c>
      <c r="AB232" s="11" t="n">
        <f aca="false">SUMPRODUCT((AA232&gt;'Tax Tables'!$A$5:$A$17)*(AA232-'Tax Tables'!$A$5:$A$17)*'Tax Tables'!$C$5:$C$17)</f>
        <v>4419.5</v>
      </c>
      <c r="AC232" s="11" t="n">
        <f aca="false">IF(W232&lt;0,-1E+099,P232-T232-AB232+Y232+(T232+U232)*Calculator!$B$9)</f>
        <v>366282.85</v>
      </c>
    </row>
    <row r="233" customFormat="false" ht="15" hidden="false" customHeight="false" outlineLevel="0" collapsed="false">
      <c r="A233" s="11" t="n">
        <f aca="false">220*$B$3</f>
        <v>110000</v>
      </c>
      <c r="B233" s="11" t="n">
        <f aca="false">0</f>
        <v>0</v>
      </c>
      <c r="C233" s="11" t="n">
        <f aca="false">A233-B233</f>
        <v>110000</v>
      </c>
      <c r="D233" s="11" t="n">
        <f aca="false">IF(Calculator!$B$6="Yes",MIN(B233,'Tax Tables'!$B$31*'Tax Tables'!$B$32),0)</f>
        <v>0</v>
      </c>
      <c r="E233" s="11" t="n">
        <f aca="false">D233*Calculator!$B$7</f>
        <v>0</v>
      </c>
      <c r="F233" s="11" t="n">
        <f aca="false">D233*Calculator!$B$8</f>
        <v>0</v>
      </c>
      <c r="G233" s="11" t="n">
        <f aca="false">IF(B233&gt;0,'Tax Tables'!$B$32*MIN(MAX(B233/'Tax Tables'!$B$32*'Tax Tables'!$B$33,'Tax Tables'!$B$34),'Tax Tables'!$B$35),0)</f>
        <v>0</v>
      </c>
      <c r="H233" s="11" t="n">
        <f aca="false">Calculator!$B$5-A233-F233-G233</f>
        <v>290000</v>
      </c>
      <c r="I233" s="11" t="n">
        <f aca="false">'Tax Tables'!$B$22*(MAX(H233,0)-IF(Calculator!$B$10="Yes",MIN(MAX(H233,0),'Tax Tables'!$B$27)*'Tax Tables'!$B$28+MIN(MAX(MAX(H233,0)-'Tax Tables'!$B$27,0),'Tax Tables'!$B$29)*'Tax Tables'!$B$30,MIN(MAX(H233,0),'Tax Tables'!$B$23)*'Tax Tables'!$B$24+MIN(MAX(MAX(H233,0)-'Tax Tables'!$B$23,0),'Tax Tables'!$B$25)*'Tax Tables'!$B$26))*1-MIN('Tax Tables'!$B$22*(MAX(H233,0)-IF(Calculator!$B$10="Yes",MIN(MAX(H233,0),'Tax Tables'!$B$27)*'Tax Tables'!$B$28+MIN(MAX(MAX(H233,0)-'Tax Tables'!$B$27,0),'Tax Tables'!$B$29)*'Tax Tables'!$B$30,MIN(MAX(H233,0),'Tax Tables'!$B$23)*'Tax Tables'!$B$24+MIN(MAX(MAX(H233,0)-'Tax Tables'!$B$23,0),'Tax Tables'!$B$25)*'Tax Tables'!$B$26))*Calculator!$B$11,Calculator!$B$12)</f>
        <v>31875</v>
      </c>
      <c r="J233" s="11" t="n">
        <f aca="false">MAX(H233,0)-I233</f>
        <v>258125</v>
      </c>
      <c r="K233" s="11" t="n">
        <f aca="false">MIN(IF(A233&gt;0,Calculator!$B$13,0)+E233+Calculator!$B$14,'Tax Tables'!$B$36)</f>
        <v>1000</v>
      </c>
      <c r="L233" s="11" t="n">
        <f aca="false">MAX(A233-K233,0)</f>
        <v>109000</v>
      </c>
      <c r="M233" s="11" t="n">
        <f aca="false">SUMPRODUCT((L233&gt;'Tax Tables'!$A$5:$A$17)*(L233-'Tax Tables'!$A$5:$A$17)*'Tax Tables'!$C$5:$C$17)</f>
        <v>6685</v>
      </c>
      <c r="N233" s="11" t="n">
        <f aca="false">IF(H233&lt;0,-1E+099,A233-E233-M233+J233+(E233+F233)*Calculator!$B$9)</f>
        <v>361440</v>
      </c>
      <c r="O233" s="2"/>
      <c r="P233" s="11" t="n">
        <f aca="false">220*$B$3</f>
        <v>110000</v>
      </c>
      <c r="Q233" s="11" t="n">
        <f aca="false">MIN(P233,'Tax Tables'!$B$31*'Tax Tables'!$B$32)</f>
        <v>96000</v>
      </c>
      <c r="R233" s="11" t="n">
        <f aca="false">P233-Q233</f>
        <v>14000</v>
      </c>
      <c r="S233" s="11" t="n">
        <f aca="false">IF(Calculator!$B$6="Yes",MIN(Q233,'Tax Tables'!$B$31*'Tax Tables'!$B$32),0)</f>
        <v>96000</v>
      </c>
      <c r="T233" s="11" t="n">
        <f aca="false">S233*Calculator!$B$7</f>
        <v>19200</v>
      </c>
      <c r="U233" s="11" t="n">
        <f aca="false">S233*Calculator!$B$8</f>
        <v>16320</v>
      </c>
      <c r="V233" s="11" t="n">
        <f aca="false">IF(Q233&gt;0,'Tax Tables'!$B$32*MIN(MAX(Q233/'Tax Tables'!$B$32*'Tax Tables'!$B$33,'Tax Tables'!$B$34),'Tax Tables'!$B$35),0)</f>
        <v>135</v>
      </c>
      <c r="W233" s="11" t="n">
        <f aca="false">Calculator!$B$5-P233-U233-V233</f>
        <v>273545</v>
      </c>
      <c r="X233" s="11" t="n">
        <f aca="false">'Tax Tables'!$B$22*(MAX(W233,0)-IF(Calculator!$B$10="Yes",MIN(MAX(W233,0),'Tax Tables'!$B$27)*'Tax Tables'!$B$28+MIN(MAX(MAX(W233,0)-'Tax Tables'!$B$27,0),'Tax Tables'!$B$29)*'Tax Tables'!$B$30,MIN(MAX(W233,0),'Tax Tables'!$B$23)*'Tax Tables'!$B$24+MIN(MAX(MAX(W233,0)-'Tax Tables'!$B$23,0),'Tax Tables'!$B$25)*'Tax Tables'!$B$26))*1-MIN('Tax Tables'!$B$22*(MAX(W233,0)-IF(Calculator!$B$10="Yes",MIN(MAX(W233,0),'Tax Tables'!$B$27)*'Tax Tables'!$B$28+MIN(MAX(MAX(W233,0)-'Tax Tables'!$B$27,0),'Tax Tables'!$B$29)*'Tax Tables'!$B$30,MIN(MAX(W233,0),'Tax Tables'!$B$23)*'Tax Tables'!$B$24+MIN(MAX(MAX(W233,0)-'Tax Tables'!$B$23,0),'Tax Tables'!$B$25)*'Tax Tables'!$B$26))*Calculator!$B$11,Calculator!$B$12)</f>
        <v>29077.65</v>
      </c>
      <c r="Y233" s="11" t="n">
        <f aca="false">MAX(W233,0)-X233</f>
        <v>244467.35</v>
      </c>
      <c r="Z233" s="11" t="n">
        <f aca="false">MIN(IF(P233&gt;0,Calculator!$B$13,0)+T233+Calculator!$B$14,'Tax Tables'!$B$36)</f>
        <v>20200</v>
      </c>
      <c r="AA233" s="11" t="n">
        <f aca="false">MAX(P233-Z233,0)</f>
        <v>89800</v>
      </c>
      <c r="AB233" s="11" t="n">
        <f aca="false">SUMPRODUCT((AA233&gt;'Tax Tables'!$A$5:$A$17)*(AA233-'Tax Tables'!$A$5:$A$17)*'Tax Tables'!$C$5:$C$17)</f>
        <v>4477</v>
      </c>
      <c r="AC233" s="11" t="n">
        <f aca="false">IF(W233&lt;0,-1E+099,P233-T233-AB233+Y233+(T233+U233)*Calculator!$B$9)</f>
        <v>366310.35</v>
      </c>
    </row>
    <row r="234" customFormat="false" ht="15" hidden="false" customHeight="false" outlineLevel="0" collapsed="false">
      <c r="A234" s="11" t="n">
        <f aca="false">221*$B$3</f>
        <v>110500</v>
      </c>
      <c r="B234" s="11" t="n">
        <f aca="false">0</f>
        <v>0</v>
      </c>
      <c r="C234" s="11" t="n">
        <f aca="false">A234-B234</f>
        <v>110500</v>
      </c>
      <c r="D234" s="11" t="n">
        <f aca="false">IF(Calculator!$B$6="Yes",MIN(B234,'Tax Tables'!$B$31*'Tax Tables'!$B$32),0)</f>
        <v>0</v>
      </c>
      <c r="E234" s="11" t="n">
        <f aca="false">D234*Calculator!$B$7</f>
        <v>0</v>
      </c>
      <c r="F234" s="11" t="n">
        <f aca="false">D234*Calculator!$B$8</f>
        <v>0</v>
      </c>
      <c r="G234" s="11" t="n">
        <f aca="false">IF(B234&gt;0,'Tax Tables'!$B$32*MIN(MAX(B234/'Tax Tables'!$B$32*'Tax Tables'!$B$33,'Tax Tables'!$B$34),'Tax Tables'!$B$35),0)</f>
        <v>0</v>
      </c>
      <c r="H234" s="11" t="n">
        <f aca="false">Calculator!$B$5-A234-F234-G234</f>
        <v>289500</v>
      </c>
      <c r="I234" s="11" t="n">
        <f aca="false">'Tax Tables'!$B$22*(MAX(H234,0)-IF(Calculator!$B$10="Yes",MIN(MAX(H234,0),'Tax Tables'!$B$27)*'Tax Tables'!$B$28+MIN(MAX(MAX(H234,0)-'Tax Tables'!$B$27,0),'Tax Tables'!$B$29)*'Tax Tables'!$B$30,MIN(MAX(H234,0),'Tax Tables'!$B$23)*'Tax Tables'!$B$24+MIN(MAX(MAX(H234,0)-'Tax Tables'!$B$23,0),'Tax Tables'!$B$25)*'Tax Tables'!$B$26))*1-MIN('Tax Tables'!$B$22*(MAX(H234,0)-IF(Calculator!$B$10="Yes",MIN(MAX(H234,0),'Tax Tables'!$B$27)*'Tax Tables'!$B$28+MIN(MAX(MAX(H234,0)-'Tax Tables'!$B$27,0),'Tax Tables'!$B$29)*'Tax Tables'!$B$30,MIN(MAX(H234,0),'Tax Tables'!$B$23)*'Tax Tables'!$B$24+MIN(MAX(MAX(H234,0)-'Tax Tables'!$B$23,0),'Tax Tables'!$B$25)*'Tax Tables'!$B$26))*Calculator!$B$11,Calculator!$B$12)</f>
        <v>31790</v>
      </c>
      <c r="J234" s="11" t="n">
        <f aca="false">MAX(H234,0)-I234</f>
        <v>257710</v>
      </c>
      <c r="K234" s="11" t="n">
        <f aca="false">MIN(IF(A234&gt;0,Calculator!$B$13,0)+E234+Calculator!$B$14,'Tax Tables'!$B$36)</f>
        <v>1000</v>
      </c>
      <c r="L234" s="11" t="n">
        <f aca="false">MAX(A234-K234,0)</f>
        <v>109500</v>
      </c>
      <c r="M234" s="11" t="n">
        <f aca="false">SUMPRODUCT((L234&gt;'Tax Tables'!$A$5:$A$17)*(L234-'Tax Tables'!$A$5:$A$17)*'Tax Tables'!$C$5:$C$17)</f>
        <v>6742.5</v>
      </c>
      <c r="N234" s="11" t="n">
        <f aca="false">IF(H234&lt;0,-1E+099,A234-E234-M234+J234+(E234+F234)*Calculator!$B$9)</f>
        <v>361467.5</v>
      </c>
      <c r="O234" s="2"/>
      <c r="P234" s="11" t="n">
        <f aca="false">221*$B$3</f>
        <v>110500</v>
      </c>
      <c r="Q234" s="11" t="n">
        <f aca="false">MIN(P234,'Tax Tables'!$B$31*'Tax Tables'!$B$32)</f>
        <v>96000</v>
      </c>
      <c r="R234" s="11" t="n">
        <f aca="false">P234-Q234</f>
        <v>14500</v>
      </c>
      <c r="S234" s="11" t="n">
        <f aca="false">IF(Calculator!$B$6="Yes",MIN(Q234,'Tax Tables'!$B$31*'Tax Tables'!$B$32),0)</f>
        <v>96000</v>
      </c>
      <c r="T234" s="11" t="n">
        <f aca="false">S234*Calculator!$B$7</f>
        <v>19200</v>
      </c>
      <c r="U234" s="11" t="n">
        <f aca="false">S234*Calculator!$B$8</f>
        <v>16320</v>
      </c>
      <c r="V234" s="11" t="n">
        <f aca="false">IF(Q234&gt;0,'Tax Tables'!$B$32*MIN(MAX(Q234/'Tax Tables'!$B$32*'Tax Tables'!$B$33,'Tax Tables'!$B$34),'Tax Tables'!$B$35),0)</f>
        <v>135</v>
      </c>
      <c r="W234" s="11" t="n">
        <f aca="false">Calculator!$B$5-P234-U234-V234</f>
        <v>273045</v>
      </c>
      <c r="X234" s="11" t="n">
        <f aca="false">'Tax Tables'!$B$22*(MAX(W234,0)-IF(Calculator!$B$10="Yes",MIN(MAX(W234,0),'Tax Tables'!$B$27)*'Tax Tables'!$B$28+MIN(MAX(MAX(W234,0)-'Tax Tables'!$B$27,0),'Tax Tables'!$B$29)*'Tax Tables'!$B$30,MIN(MAX(W234,0),'Tax Tables'!$B$23)*'Tax Tables'!$B$24+MIN(MAX(MAX(W234,0)-'Tax Tables'!$B$23,0),'Tax Tables'!$B$25)*'Tax Tables'!$B$26))*1-MIN('Tax Tables'!$B$22*(MAX(W234,0)-IF(Calculator!$B$10="Yes",MIN(MAX(W234,0),'Tax Tables'!$B$27)*'Tax Tables'!$B$28+MIN(MAX(MAX(W234,0)-'Tax Tables'!$B$27,0),'Tax Tables'!$B$29)*'Tax Tables'!$B$30,MIN(MAX(W234,0),'Tax Tables'!$B$23)*'Tax Tables'!$B$24+MIN(MAX(MAX(W234,0)-'Tax Tables'!$B$23,0),'Tax Tables'!$B$25)*'Tax Tables'!$B$26))*Calculator!$B$11,Calculator!$B$12)</f>
        <v>28992.65</v>
      </c>
      <c r="Y234" s="11" t="n">
        <f aca="false">MAX(W234,0)-X234</f>
        <v>244052.35</v>
      </c>
      <c r="Z234" s="11" t="n">
        <f aca="false">MIN(IF(P234&gt;0,Calculator!$B$13,0)+T234+Calculator!$B$14,'Tax Tables'!$B$36)</f>
        <v>20200</v>
      </c>
      <c r="AA234" s="11" t="n">
        <f aca="false">MAX(P234-Z234,0)</f>
        <v>90300</v>
      </c>
      <c r="AB234" s="11" t="n">
        <f aca="false">SUMPRODUCT((AA234&gt;'Tax Tables'!$A$5:$A$17)*(AA234-'Tax Tables'!$A$5:$A$17)*'Tax Tables'!$C$5:$C$17)</f>
        <v>4534.5</v>
      </c>
      <c r="AC234" s="11" t="n">
        <f aca="false">IF(W234&lt;0,-1E+099,P234-T234-AB234+Y234+(T234+U234)*Calculator!$B$9)</f>
        <v>366337.85</v>
      </c>
    </row>
    <row r="235" customFormat="false" ht="15" hidden="false" customHeight="false" outlineLevel="0" collapsed="false">
      <c r="A235" s="11" t="n">
        <f aca="false">222*$B$3</f>
        <v>111000</v>
      </c>
      <c r="B235" s="11" t="n">
        <f aca="false">0</f>
        <v>0</v>
      </c>
      <c r="C235" s="11" t="n">
        <f aca="false">A235-B235</f>
        <v>111000</v>
      </c>
      <c r="D235" s="11" t="n">
        <f aca="false">IF(Calculator!$B$6="Yes",MIN(B235,'Tax Tables'!$B$31*'Tax Tables'!$B$32),0)</f>
        <v>0</v>
      </c>
      <c r="E235" s="11" t="n">
        <f aca="false">D235*Calculator!$B$7</f>
        <v>0</v>
      </c>
      <c r="F235" s="11" t="n">
        <f aca="false">D235*Calculator!$B$8</f>
        <v>0</v>
      </c>
      <c r="G235" s="11" t="n">
        <f aca="false">IF(B235&gt;0,'Tax Tables'!$B$32*MIN(MAX(B235/'Tax Tables'!$B$32*'Tax Tables'!$B$33,'Tax Tables'!$B$34),'Tax Tables'!$B$35),0)</f>
        <v>0</v>
      </c>
      <c r="H235" s="11" t="n">
        <f aca="false">Calculator!$B$5-A235-F235-G235</f>
        <v>289000</v>
      </c>
      <c r="I235" s="11" t="n">
        <f aca="false">'Tax Tables'!$B$22*(MAX(H235,0)-IF(Calculator!$B$10="Yes",MIN(MAX(H235,0),'Tax Tables'!$B$27)*'Tax Tables'!$B$28+MIN(MAX(MAX(H235,0)-'Tax Tables'!$B$27,0),'Tax Tables'!$B$29)*'Tax Tables'!$B$30,MIN(MAX(H235,0),'Tax Tables'!$B$23)*'Tax Tables'!$B$24+MIN(MAX(MAX(H235,0)-'Tax Tables'!$B$23,0),'Tax Tables'!$B$25)*'Tax Tables'!$B$26))*1-MIN('Tax Tables'!$B$22*(MAX(H235,0)-IF(Calculator!$B$10="Yes",MIN(MAX(H235,0),'Tax Tables'!$B$27)*'Tax Tables'!$B$28+MIN(MAX(MAX(H235,0)-'Tax Tables'!$B$27,0),'Tax Tables'!$B$29)*'Tax Tables'!$B$30,MIN(MAX(H235,0),'Tax Tables'!$B$23)*'Tax Tables'!$B$24+MIN(MAX(MAX(H235,0)-'Tax Tables'!$B$23,0),'Tax Tables'!$B$25)*'Tax Tables'!$B$26))*Calculator!$B$11,Calculator!$B$12)</f>
        <v>31705</v>
      </c>
      <c r="J235" s="11" t="n">
        <f aca="false">MAX(H235,0)-I235</f>
        <v>257295</v>
      </c>
      <c r="K235" s="11" t="n">
        <f aca="false">MIN(IF(A235&gt;0,Calculator!$B$13,0)+E235+Calculator!$B$14,'Tax Tables'!$B$36)</f>
        <v>1000</v>
      </c>
      <c r="L235" s="11" t="n">
        <f aca="false">MAX(A235-K235,0)</f>
        <v>110000</v>
      </c>
      <c r="M235" s="11" t="n">
        <f aca="false">SUMPRODUCT((L235&gt;'Tax Tables'!$A$5:$A$17)*(L235-'Tax Tables'!$A$5:$A$17)*'Tax Tables'!$C$5:$C$17)</f>
        <v>6800</v>
      </c>
      <c r="N235" s="11" t="n">
        <f aca="false">IF(H235&lt;0,-1E+099,A235-E235-M235+J235+(E235+F235)*Calculator!$B$9)</f>
        <v>361495</v>
      </c>
      <c r="O235" s="2"/>
      <c r="P235" s="11" t="n">
        <f aca="false">222*$B$3</f>
        <v>111000</v>
      </c>
      <c r="Q235" s="11" t="n">
        <f aca="false">MIN(P235,'Tax Tables'!$B$31*'Tax Tables'!$B$32)</f>
        <v>96000</v>
      </c>
      <c r="R235" s="11" t="n">
        <f aca="false">P235-Q235</f>
        <v>15000</v>
      </c>
      <c r="S235" s="11" t="n">
        <f aca="false">IF(Calculator!$B$6="Yes",MIN(Q235,'Tax Tables'!$B$31*'Tax Tables'!$B$32),0)</f>
        <v>96000</v>
      </c>
      <c r="T235" s="11" t="n">
        <f aca="false">S235*Calculator!$B$7</f>
        <v>19200</v>
      </c>
      <c r="U235" s="11" t="n">
        <f aca="false">S235*Calculator!$B$8</f>
        <v>16320</v>
      </c>
      <c r="V235" s="11" t="n">
        <f aca="false">IF(Q235&gt;0,'Tax Tables'!$B$32*MIN(MAX(Q235/'Tax Tables'!$B$32*'Tax Tables'!$B$33,'Tax Tables'!$B$34),'Tax Tables'!$B$35),0)</f>
        <v>135</v>
      </c>
      <c r="W235" s="11" t="n">
        <f aca="false">Calculator!$B$5-P235-U235-V235</f>
        <v>272545</v>
      </c>
      <c r="X235" s="11" t="n">
        <f aca="false">'Tax Tables'!$B$22*(MAX(W235,0)-IF(Calculator!$B$10="Yes",MIN(MAX(W235,0),'Tax Tables'!$B$27)*'Tax Tables'!$B$28+MIN(MAX(MAX(W235,0)-'Tax Tables'!$B$27,0),'Tax Tables'!$B$29)*'Tax Tables'!$B$30,MIN(MAX(W235,0),'Tax Tables'!$B$23)*'Tax Tables'!$B$24+MIN(MAX(MAX(W235,0)-'Tax Tables'!$B$23,0),'Tax Tables'!$B$25)*'Tax Tables'!$B$26))*1-MIN('Tax Tables'!$B$22*(MAX(W235,0)-IF(Calculator!$B$10="Yes",MIN(MAX(W235,0),'Tax Tables'!$B$27)*'Tax Tables'!$B$28+MIN(MAX(MAX(W235,0)-'Tax Tables'!$B$27,0),'Tax Tables'!$B$29)*'Tax Tables'!$B$30,MIN(MAX(W235,0),'Tax Tables'!$B$23)*'Tax Tables'!$B$24+MIN(MAX(MAX(W235,0)-'Tax Tables'!$B$23,0),'Tax Tables'!$B$25)*'Tax Tables'!$B$26))*Calculator!$B$11,Calculator!$B$12)</f>
        <v>28907.65</v>
      </c>
      <c r="Y235" s="11" t="n">
        <f aca="false">MAX(W235,0)-X235</f>
        <v>243637.35</v>
      </c>
      <c r="Z235" s="11" t="n">
        <f aca="false">MIN(IF(P235&gt;0,Calculator!$B$13,0)+T235+Calculator!$B$14,'Tax Tables'!$B$36)</f>
        <v>20200</v>
      </c>
      <c r="AA235" s="11" t="n">
        <f aca="false">MAX(P235-Z235,0)</f>
        <v>90800</v>
      </c>
      <c r="AB235" s="11" t="n">
        <f aca="false">SUMPRODUCT((AA235&gt;'Tax Tables'!$A$5:$A$17)*(AA235-'Tax Tables'!$A$5:$A$17)*'Tax Tables'!$C$5:$C$17)</f>
        <v>4592</v>
      </c>
      <c r="AC235" s="11" t="n">
        <f aca="false">IF(W235&lt;0,-1E+099,P235-T235-AB235+Y235+(T235+U235)*Calculator!$B$9)</f>
        <v>366365.35</v>
      </c>
    </row>
    <row r="236" customFormat="false" ht="15" hidden="false" customHeight="false" outlineLevel="0" collapsed="false">
      <c r="A236" s="11" t="n">
        <f aca="false">223*$B$3</f>
        <v>111500</v>
      </c>
      <c r="B236" s="11" t="n">
        <f aca="false">0</f>
        <v>0</v>
      </c>
      <c r="C236" s="11" t="n">
        <f aca="false">A236-B236</f>
        <v>111500</v>
      </c>
      <c r="D236" s="11" t="n">
        <f aca="false">IF(Calculator!$B$6="Yes",MIN(B236,'Tax Tables'!$B$31*'Tax Tables'!$B$32),0)</f>
        <v>0</v>
      </c>
      <c r="E236" s="11" t="n">
        <f aca="false">D236*Calculator!$B$7</f>
        <v>0</v>
      </c>
      <c r="F236" s="11" t="n">
        <f aca="false">D236*Calculator!$B$8</f>
        <v>0</v>
      </c>
      <c r="G236" s="11" t="n">
        <f aca="false">IF(B236&gt;0,'Tax Tables'!$B$32*MIN(MAX(B236/'Tax Tables'!$B$32*'Tax Tables'!$B$33,'Tax Tables'!$B$34),'Tax Tables'!$B$35),0)</f>
        <v>0</v>
      </c>
      <c r="H236" s="11" t="n">
        <f aca="false">Calculator!$B$5-A236-F236-G236</f>
        <v>288500</v>
      </c>
      <c r="I236" s="11" t="n">
        <f aca="false">'Tax Tables'!$B$22*(MAX(H236,0)-IF(Calculator!$B$10="Yes",MIN(MAX(H236,0),'Tax Tables'!$B$27)*'Tax Tables'!$B$28+MIN(MAX(MAX(H236,0)-'Tax Tables'!$B$27,0),'Tax Tables'!$B$29)*'Tax Tables'!$B$30,MIN(MAX(H236,0),'Tax Tables'!$B$23)*'Tax Tables'!$B$24+MIN(MAX(MAX(H236,0)-'Tax Tables'!$B$23,0),'Tax Tables'!$B$25)*'Tax Tables'!$B$26))*1-MIN('Tax Tables'!$B$22*(MAX(H236,0)-IF(Calculator!$B$10="Yes",MIN(MAX(H236,0),'Tax Tables'!$B$27)*'Tax Tables'!$B$28+MIN(MAX(MAX(H236,0)-'Tax Tables'!$B$27,0),'Tax Tables'!$B$29)*'Tax Tables'!$B$30,MIN(MAX(H236,0),'Tax Tables'!$B$23)*'Tax Tables'!$B$24+MIN(MAX(MAX(H236,0)-'Tax Tables'!$B$23,0),'Tax Tables'!$B$25)*'Tax Tables'!$B$26))*Calculator!$B$11,Calculator!$B$12)</f>
        <v>31620</v>
      </c>
      <c r="J236" s="11" t="n">
        <f aca="false">MAX(H236,0)-I236</f>
        <v>256880</v>
      </c>
      <c r="K236" s="11" t="n">
        <f aca="false">MIN(IF(A236&gt;0,Calculator!$B$13,0)+E236+Calculator!$B$14,'Tax Tables'!$B$36)</f>
        <v>1000</v>
      </c>
      <c r="L236" s="11" t="n">
        <f aca="false">MAX(A236-K236,0)</f>
        <v>110500</v>
      </c>
      <c r="M236" s="11" t="n">
        <f aca="false">SUMPRODUCT((L236&gt;'Tax Tables'!$A$5:$A$17)*(L236-'Tax Tables'!$A$5:$A$17)*'Tax Tables'!$C$5:$C$17)</f>
        <v>6857.5</v>
      </c>
      <c r="N236" s="11" t="n">
        <f aca="false">IF(H236&lt;0,-1E+099,A236-E236-M236+J236+(E236+F236)*Calculator!$B$9)</f>
        <v>361522.5</v>
      </c>
      <c r="O236" s="2"/>
      <c r="P236" s="11" t="n">
        <f aca="false">223*$B$3</f>
        <v>111500</v>
      </c>
      <c r="Q236" s="11" t="n">
        <f aca="false">MIN(P236,'Tax Tables'!$B$31*'Tax Tables'!$B$32)</f>
        <v>96000</v>
      </c>
      <c r="R236" s="11" t="n">
        <f aca="false">P236-Q236</f>
        <v>15500</v>
      </c>
      <c r="S236" s="11" t="n">
        <f aca="false">IF(Calculator!$B$6="Yes",MIN(Q236,'Tax Tables'!$B$31*'Tax Tables'!$B$32),0)</f>
        <v>96000</v>
      </c>
      <c r="T236" s="11" t="n">
        <f aca="false">S236*Calculator!$B$7</f>
        <v>19200</v>
      </c>
      <c r="U236" s="11" t="n">
        <f aca="false">S236*Calculator!$B$8</f>
        <v>16320</v>
      </c>
      <c r="V236" s="11" t="n">
        <f aca="false">IF(Q236&gt;0,'Tax Tables'!$B$32*MIN(MAX(Q236/'Tax Tables'!$B$32*'Tax Tables'!$B$33,'Tax Tables'!$B$34),'Tax Tables'!$B$35),0)</f>
        <v>135</v>
      </c>
      <c r="W236" s="11" t="n">
        <f aca="false">Calculator!$B$5-P236-U236-V236</f>
        <v>272045</v>
      </c>
      <c r="X236" s="11" t="n">
        <f aca="false">'Tax Tables'!$B$22*(MAX(W236,0)-IF(Calculator!$B$10="Yes",MIN(MAX(W236,0),'Tax Tables'!$B$27)*'Tax Tables'!$B$28+MIN(MAX(MAX(W236,0)-'Tax Tables'!$B$27,0),'Tax Tables'!$B$29)*'Tax Tables'!$B$30,MIN(MAX(W236,0),'Tax Tables'!$B$23)*'Tax Tables'!$B$24+MIN(MAX(MAX(W236,0)-'Tax Tables'!$B$23,0),'Tax Tables'!$B$25)*'Tax Tables'!$B$26))*1-MIN('Tax Tables'!$B$22*(MAX(W236,0)-IF(Calculator!$B$10="Yes",MIN(MAX(W236,0),'Tax Tables'!$B$27)*'Tax Tables'!$B$28+MIN(MAX(MAX(W236,0)-'Tax Tables'!$B$27,0),'Tax Tables'!$B$29)*'Tax Tables'!$B$30,MIN(MAX(W236,0),'Tax Tables'!$B$23)*'Tax Tables'!$B$24+MIN(MAX(MAX(W236,0)-'Tax Tables'!$B$23,0),'Tax Tables'!$B$25)*'Tax Tables'!$B$26))*Calculator!$B$11,Calculator!$B$12)</f>
        <v>28822.65</v>
      </c>
      <c r="Y236" s="11" t="n">
        <f aca="false">MAX(W236,0)-X236</f>
        <v>243222.35</v>
      </c>
      <c r="Z236" s="11" t="n">
        <f aca="false">MIN(IF(P236&gt;0,Calculator!$B$13,0)+T236+Calculator!$B$14,'Tax Tables'!$B$36)</f>
        <v>20200</v>
      </c>
      <c r="AA236" s="11" t="n">
        <f aca="false">MAX(P236-Z236,0)</f>
        <v>91300</v>
      </c>
      <c r="AB236" s="11" t="n">
        <f aca="false">SUMPRODUCT((AA236&gt;'Tax Tables'!$A$5:$A$17)*(AA236-'Tax Tables'!$A$5:$A$17)*'Tax Tables'!$C$5:$C$17)</f>
        <v>4649.5</v>
      </c>
      <c r="AC236" s="11" t="n">
        <f aca="false">IF(W236&lt;0,-1E+099,P236-T236-AB236+Y236+(T236+U236)*Calculator!$B$9)</f>
        <v>366392.85</v>
      </c>
    </row>
    <row r="237" customFormat="false" ht="15" hidden="false" customHeight="false" outlineLevel="0" collapsed="false">
      <c r="A237" s="11" t="n">
        <f aca="false">224*$B$3</f>
        <v>112000</v>
      </c>
      <c r="B237" s="11" t="n">
        <f aca="false">0</f>
        <v>0</v>
      </c>
      <c r="C237" s="11" t="n">
        <f aca="false">A237-B237</f>
        <v>112000</v>
      </c>
      <c r="D237" s="11" t="n">
        <f aca="false">IF(Calculator!$B$6="Yes",MIN(B237,'Tax Tables'!$B$31*'Tax Tables'!$B$32),0)</f>
        <v>0</v>
      </c>
      <c r="E237" s="11" t="n">
        <f aca="false">D237*Calculator!$B$7</f>
        <v>0</v>
      </c>
      <c r="F237" s="11" t="n">
        <f aca="false">D237*Calculator!$B$8</f>
        <v>0</v>
      </c>
      <c r="G237" s="11" t="n">
        <f aca="false">IF(B237&gt;0,'Tax Tables'!$B$32*MIN(MAX(B237/'Tax Tables'!$B$32*'Tax Tables'!$B$33,'Tax Tables'!$B$34),'Tax Tables'!$B$35),0)</f>
        <v>0</v>
      </c>
      <c r="H237" s="11" t="n">
        <f aca="false">Calculator!$B$5-A237-F237-G237</f>
        <v>288000</v>
      </c>
      <c r="I237" s="11" t="n">
        <f aca="false">'Tax Tables'!$B$22*(MAX(H237,0)-IF(Calculator!$B$10="Yes",MIN(MAX(H237,0),'Tax Tables'!$B$27)*'Tax Tables'!$B$28+MIN(MAX(MAX(H237,0)-'Tax Tables'!$B$27,0),'Tax Tables'!$B$29)*'Tax Tables'!$B$30,MIN(MAX(H237,0),'Tax Tables'!$B$23)*'Tax Tables'!$B$24+MIN(MAX(MAX(H237,0)-'Tax Tables'!$B$23,0),'Tax Tables'!$B$25)*'Tax Tables'!$B$26))*1-MIN('Tax Tables'!$B$22*(MAX(H237,0)-IF(Calculator!$B$10="Yes",MIN(MAX(H237,0),'Tax Tables'!$B$27)*'Tax Tables'!$B$28+MIN(MAX(MAX(H237,0)-'Tax Tables'!$B$27,0),'Tax Tables'!$B$29)*'Tax Tables'!$B$30,MIN(MAX(H237,0),'Tax Tables'!$B$23)*'Tax Tables'!$B$24+MIN(MAX(MAX(H237,0)-'Tax Tables'!$B$23,0),'Tax Tables'!$B$25)*'Tax Tables'!$B$26))*Calculator!$B$11,Calculator!$B$12)</f>
        <v>31535</v>
      </c>
      <c r="J237" s="11" t="n">
        <f aca="false">MAX(H237,0)-I237</f>
        <v>256465</v>
      </c>
      <c r="K237" s="11" t="n">
        <f aca="false">MIN(IF(A237&gt;0,Calculator!$B$13,0)+E237+Calculator!$B$14,'Tax Tables'!$B$36)</f>
        <v>1000</v>
      </c>
      <c r="L237" s="11" t="n">
        <f aca="false">MAX(A237-K237,0)</f>
        <v>111000</v>
      </c>
      <c r="M237" s="11" t="n">
        <f aca="false">SUMPRODUCT((L237&gt;'Tax Tables'!$A$5:$A$17)*(L237-'Tax Tables'!$A$5:$A$17)*'Tax Tables'!$C$5:$C$17)</f>
        <v>6915</v>
      </c>
      <c r="N237" s="11" t="n">
        <f aca="false">IF(H237&lt;0,-1E+099,A237-E237-M237+J237+(E237+F237)*Calculator!$B$9)</f>
        <v>361550</v>
      </c>
      <c r="O237" s="2"/>
      <c r="P237" s="11" t="n">
        <f aca="false">224*$B$3</f>
        <v>112000</v>
      </c>
      <c r="Q237" s="11" t="n">
        <f aca="false">MIN(P237,'Tax Tables'!$B$31*'Tax Tables'!$B$32)</f>
        <v>96000</v>
      </c>
      <c r="R237" s="11" t="n">
        <f aca="false">P237-Q237</f>
        <v>16000</v>
      </c>
      <c r="S237" s="11" t="n">
        <f aca="false">IF(Calculator!$B$6="Yes",MIN(Q237,'Tax Tables'!$B$31*'Tax Tables'!$B$32),0)</f>
        <v>96000</v>
      </c>
      <c r="T237" s="11" t="n">
        <f aca="false">S237*Calculator!$B$7</f>
        <v>19200</v>
      </c>
      <c r="U237" s="11" t="n">
        <f aca="false">S237*Calculator!$B$8</f>
        <v>16320</v>
      </c>
      <c r="V237" s="11" t="n">
        <f aca="false">IF(Q237&gt;0,'Tax Tables'!$B$32*MIN(MAX(Q237/'Tax Tables'!$B$32*'Tax Tables'!$B$33,'Tax Tables'!$B$34),'Tax Tables'!$B$35),0)</f>
        <v>135</v>
      </c>
      <c r="W237" s="11" t="n">
        <f aca="false">Calculator!$B$5-P237-U237-V237</f>
        <v>271545</v>
      </c>
      <c r="X237" s="11" t="n">
        <f aca="false">'Tax Tables'!$B$22*(MAX(W237,0)-IF(Calculator!$B$10="Yes",MIN(MAX(W237,0),'Tax Tables'!$B$27)*'Tax Tables'!$B$28+MIN(MAX(MAX(W237,0)-'Tax Tables'!$B$27,0),'Tax Tables'!$B$29)*'Tax Tables'!$B$30,MIN(MAX(W237,0),'Tax Tables'!$B$23)*'Tax Tables'!$B$24+MIN(MAX(MAX(W237,0)-'Tax Tables'!$B$23,0),'Tax Tables'!$B$25)*'Tax Tables'!$B$26))*1-MIN('Tax Tables'!$B$22*(MAX(W237,0)-IF(Calculator!$B$10="Yes",MIN(MAX(W237,0),'Tax Tables'!$B$27)*'Tax Tables'!$B$28+MIN(MAX(MAX(W237,0)-'Tax Tables'!$B$27,0),'Tax Tables'!$B$29)*'Tax Tables'!$B$30,MIN(MAX(W237,0),'Tax Tables'!$B$23)*'Tax Tables'!$B$24+MIN(MAX(MAX(W237,0)-'Tax Tables'!$B$23,0),'Tax Tables'!$B$25)*'Tax Tables'!$B$26))*Calculator!$B$11,Calculator!$B$12)</f>
        <v>28737.65</v>
      </c>
      <c r="Y237" s="11" t="n">
        <f aca="false">MAX(W237,0)-X237</f>
        <v>242807.35</v>
      </c>
      <c r="Z237" s="11" t="n">
        <f aca="false">MIN(IF(P237&gt;0,Calculator!$B$13,0)+T237+Calculator!$B$14,'Tax Tables'!$B$36)</f>
        <v>20200</v>
      </c>
      <c r="AA237" s="11" t="n">
        <f aca="false">MAX(P237-Z237,0)</f>
        <v>91800</v>
      </c>
      <c r="AB237" s="11" t="n">
        <f aca="false">SUMPRODUCT((AA237&gt;'Tax Tables'!$A$5:$A$17)*(AA237-'Tax Tables'!$A$5:$A$17)*'Tax Tables'!$C$5:$C$17)</f>
        <v>4707</v>
      </c>
      <c r="AC237" s="11" t="n">
        <f aca="false">IF(W237&lt;0,-1E+099,P237-T237-AB237+Y237+(T237+U237)*Calculator!$B$9)</f>
        <v>366420.35</v>
      </c>
    </row>
    <row r="238" customFormat="false" ht="15" hidden="false" customHeight="false" outlineLevel="0" collapsed="false">
      <c r="A238" s="11" t="n">
        <f aca="false">225*$B$3</f>
        <v>112500</v>
      </c>
      <c r="B238" s="11" t="n">
        <f aca="false">0</f>
        <v>0</v>
      </c>
      <c r="C238" s="11" t="n">
        <f aca="false">A238-B238</f>
        <v>112500</v>
      </c>
      <c r="D238" s="11" t="n">
        <f aca="false">IF(Calculator!$B$6="Yes",MIN(B238,'Tax Tables'!$B$31*'Tax Tables'!$B$32),0)</f>
        <v>0</v>
      </c>
      <c r="E238" s="11" t="n">
        <f aca="false">D238*Calculator!$B$7</f>
        <v>0</v>
      </c>
      <c r="F238" s="11" t="n">
        <f aca="false">D238*Calculator!$B$8</f>
        <v>0</v>
      </c>
      <c r="G238" s="11" t="n">
        <f aca="false">IF(B238&gt;0,'Tax Tables'!$B$32*MIN(MAX(B238/'Tax Tables'!$B$32*'Tax Tables'!$B$33,'Tax Tables'!$B$34),'Tax Tables'!$B$35),0)</f>
        <v>0</v>
      </c>
      <c r="H238" s="11" t="n">
        <f aca="false">Calculator!$B$5-A238-F238-G238</f>
        <v>287500</v>
      </c>
      <c r="I238" s="11" t="n">
        <f aca="false">'Tax Tables'!$B$22*(MAX(H238,0)-IF(Calculator!$B$10="Yes",MIN(MAX(H238,0),'Tax Tables'!$B$27)*'Tax Tables'!$B$28+MIN(MAX(MAX(H238,0)-'Tax Tables'!$B$27,0),'Tax Tables'!$B$29)*'Tax Tables'!$B$30,MIN(MAX(H238,0),'Tax Tables'!$B$23)*'Tax Tables'!$B$24+MIN(MAX(MAX(H238,0)-'Tax Tables'!$B$23,0),'Tax Tables'!$B$25)*'Tax Tables'!$B$26))*1-MIN('Tax Tables'!$B$22*(MAX(H238,0)-IF(Calculator!$B$10="Yes",MIN(MAX(H238,0),'Tax Tables'!$B$27)*'Tax Tables'!$B$28+MIN(MAX(MAX(H238,0)-'Tax Tables'!$B$27,0),'Tax Tables'!$B$29)*'Tax Tables'!$B$30,MIN(MAX(H238,0),'Tax Tables'!$B$23)*'Tax Tables'!$B$24+MIN(MAX(MAX(H238,0)-'Tax Tables'!$B$23,0),'Tax Tables'!$B$25)*'Tax Tables'!$B$26))*Calculator!$B$11,Calculator!$B$12)</f>
        <v>31450</v>
      </c>
      <c r="J238" s="11" t="n">
        <f aca="false">MAX(H238,0)-I238</f>
        <v>256050</v>
      </c>
      <c r="K238" s="11" t="n">
        <f aca="false">MIN(IF(A238&gt;0,Calculator!$B$13,0)+E238+Calculator!$B$14,'Tax Tables'!$B$36)</f>
        <v>1000</v>
      </c>
      <c r="L238" s="11" t="n">
        <f aca="false">MAX(A238-K238,0)</f>
        <v>111500</v>
      </c>
      <c r="M238" s="11" t="n">
        <f aca="false">SUMPRODUCT((L238&gt;'Tax Tables'!$A$5:$A$17)*(L238-'Tax Tables'!$A$5:$A$17)*'Tax Tables'!$C$5:$C$17)</f>
        <v>6972.5</v>
      </c>
      <c r="N238" s="11" t="n">
        <f aca="false">IF(H238&lt;0,-1E+099,A238-E238-M238+J238+(E238+F238)*Calculator!$B$9)</f>
        <v>361577.5</v>
      </c>
      <c r="O238" s="2"/>
      <c r="P238" s="11" t="n">
        <f aca="false">225*$B$3</f>
        <v>112500</v>
      </c>
      <c r="Q238" s="11" t="n">
        <f aca="false">MIN(P238,'Tax Tables'!$B$31*'Tax Tables'!$B$32)</f>
        <v>96000</v>
      </c>
      <c r="R238" s="11" t="n">
        <f aca="false">P238-Q238</f>
        <v>16500</v>
      </c>
      <c r="S238" s="11" t="n">
        <f aca="false">IF(Calculator!$B$6="Yes",MIN(Q238,'Tax Tables'!$B$31*'Tax Tables'!$B$32),0)</f>
        <v>96000</v>
      </c>
      <c r="T238" s="11" t="n">
        <f aca="false">S238*Calculator!$B$7</f>
        <v>19200</v>
      </c>
      <c r="U238" s="11" t="n">
        <f aca="false">S238*Calculator!$B$8</f>
        <v>16320</v>
      </c>
      <c r="V238" s="11" t="n">
        <f aca="false">IF(Q238&gt;0,'Tax Tables'!$B$32*MIN(MAX(Q238/'Tax Tables'!$B$32*'Tax Tables'!$B$33,'Tax Tables'!$B$34),'Tax Tables'!$B$35),0)</f>
        <v>135</v>
      </c>
      <c r="W238" s="11" t="n">
        <f aca="false">Calculator!$B$5-P238-U238-V238</f>
        <v>271045</v>
      </c>
      <c r="X238" s="11" t="n">
        <f aca="false">'Tax Tables'!$B$22*(MAX(W238,0)-IF(Calculator!$B$10="Yes",MIN(MAX(W238,0),'Tax Tables'!$B$27)*'Tax Tables'!$B$28+MIN(MAX(MAX(W238,0)-'Tax Tables'!$B$27,0),'Tax Tables'!$B$29)*'Tax Tables'!$B$30,MIN(MAX(W238,0),'Tax Tables'!$B$23)*'Tax Tables'!$B$24+MIN(MAX(MAX(W238,0)-'Tax Tables'!$B$23,0),'Tax Tables'!$B$25)*'Tax Tables'!$B$26))*1-MIN('Tax Tables'!$B$22*(MAX(W238,0)-IF(Calculator!$B$10="Yes",MIN(MAX(W238,0),'Tax Tables'!$B$27)*'Tax Tables'!$B$28+MIN(MAX(MAX(W238,0)-'Tax Tables'!$B$27,0),'Tax Tables'!$B$29)*'Tax Tables'!$B$30,MIN(MAX(W238,0),'Tax Tables'!$B$23)*'Tax Tables'!$B$24+MIN(MAX(MAX(W238,0)-'Tax Tables'!$B$23,0),'Tax Tables'!$B$25)*'Tax Tables'!$B$26))*Calculator!$B$11,Calculator!$B$12)</f>
        <v>28652.65</v>
      </c>
      <c r="Y238" s="11" t="n">
        <f aca="false">MAX(W238,0)-X238</f>
        <v>242392.35</v>
      </c>
      <c r="Z238" s="11" t="n">
        <f aca="false">MIN(IF(P238&gt;0,Calculator!$B$13,0)+T238+Calculator!$B$14,'Tax Tables'!$B$36)</f>
        <v>20200</v>
      </c>
      <c r="AA238" s="11" t="n">
        <f aca="false">MAX(P238-Z238,0)</f>
        <v>92300</v>
      </c>
      <c r="AB238" s="11" t="n">
        <f aca="false">SUMPRODUCT((AA238&gt;'Tax Tables'!$A$5:$A$17)*(AA238-'Tax Tables'!$A$5:$A$17)*'Tax Tables'!$C$5:$C$17)</f>
        <v>4764.5</v>
      </c>
      <c r="AC238" s="11" t="n">
        <f aca="false">IF(W238&lt;0,-1E+099,P238-T238-AB238+Y238+(T238+U238)*Calculator!$B$9)</f>
        <v>366447.85</v>
      </c>
    </row>
    <row r="239" customFormat="false" ht="15" hidden="false" customHeight="false" outlineLevel="0" collapsed="false">
      <c r="A239" s="11" t="n">
        <f aca="false">226*$B$3</f>
        <v>113000</v>
      </c>
      <c r="B239" s="11" t="n">
        <f aca="false">0</f>
        <v>0</v>
      </c>
      <c r="C239" s="11" t="n">
        <f aca="false">A239-B239</f>
        <v>113000</v>
      </c>
      <c r="D239" s="11" t="n">
        <f aca="false">IF(Calculator!$B$6="Yes",MIN(B239,'Tax Tables'!$B$31*'Tax Tables'!$B$32),0)</f>
        <v>0</v>
      </c>
      <c r="E239" s="11" t="n">
        <f aca="false">D239*Calculator!$B$7</f>
        <v>0</v>
      </c>
      <c r="F239" s="11" t="n">
        <f aca="false">D239*Calculator!$B$8</f>
        <v>0</v>
      </c>
      <c r="G239" s="11" t="n">
        <f aca="false">IF(B239&gt;0,'Tax Tables'!$B$32*MIN(MAX(B239/'Tax Tables'!$B$32*'Tax Tables'!$B$33,'Tax Tables'!$B$34),'Tax Tables'!$B$35),0)</f>
        <v>0</v>
      </c>
      <c r="H239" s="11" t="n">
        <f aca="false">Calculator!$B$5-A239-F239-G239</f>
        <v>287000</v>
      </c>
      <c r="I239" s="11" t="n">
        <f aca="false">'Tax Tables'!$B$22*(MAX(H239,0)-IF(Calculator!$B$10="Yes",MIN(MAX(H239,0),'Tax Tables'!$B$27)*'Tax Tables'!$B$28+MIN(MAX(MAX(H239,0)-'Tax Tables'!$B$27,0),'Tax Tables'!$B$29)*'Tax Tables'!$B$30,MIN(MAX(H239,0),'Tax Tables'!$B$23)*'Tax Tables'!$B$24+MIN(MAX(MAX(H239,0)-'Tax Tables'!$B$23,0),'Tax Tables'!$B$25)*'Tax Tables'!$B$26))*1-MIN('Tax Tables'!$B$22*(MAX(H239,0)-IF(Calculator!$B$10="Yes",MIN(MAX(H239,0),'Tax Tables'!$B$27)*'Tax Tables'!$B$28+MIN(MAX(MAX(H239,0)-'Tax Tables'!$B$27,0),'Tax Tables'!$B$29)*'Tax Tables'!$B$30,MIN(MAX(H239,0),'Tax Tables'!$B$23)*'Tax Tables'!$B$24+MIN(MAX(MAX(H239,0)-'Tax Tables'!$B$23,0),'Tax Tables'!$B$25)*'Tax Tables'!$B$26))*Calculator!$B$11,Calculator!$B$12)</f>
        <v>31365</v>
      </c>
      <c r="J239" s="11" t="n">
        <f aca="false">MAX(H239,0)-I239</f>
        <v>255635</v>
      </c>
      <c r="K239" s="11" t="n">
        <f aca="false">MIN(IF(A239&gt;0,Calculator!$B$13,0)+E239+Calculator!$B$14,'Tax Tables'!$B$36)</f>
        <v>1000</v>
      </c>
      <c r="L239" s="11" t="n">
        <f aca="false">MAX(A239-K239,0)</f>
        <v>112000</v>
      </c>
      <c r="M239" s="11" t="n">
        <f aca="false">SUMPRODUCT((L239&gt;'Tax Tables'!$A$5:$A$17)*(L239-'Tax Tables'!$A$5:$A$17)*'Tax Tables'!$C$5:$C$17)</f>
        <v>7030</v>
      </c>
      <c r="N239" s="11" t="n">
        <f aca="false">IF(H239&lt;0,-1E+099,A239-E239-M239+J239+(E239+F239)*Calculator!$B$9)</f>
        <v>361605</v>
      </c>
      <c r="O239" s="2"/>
      <c r="P239" s="11" t="n">
        <f aca="false">226*$B$3</f>
        <v>113000</v>
      </c>
      <c r="Q239" s="11" t="n">
        <f aca="false">MIN(P239,'Tax Tables'!$B$31*'Tax Tables'!$B$32)</f>
        <v>96000</v>
      </c>
      <c r="R239" s="11" t="n">
        <f aca="false">P239-Q239</f>
        <v>17000</v>
      </c>
      <c r="S239" s="11" t="n">
        <f aca="false">IF(Calculator!$B$6="Yes",MIN(Q239,'Tax Tables'!$B$31*'Tax Tables'!$B$32),0)</f>
        <v>96000</v>
      </c>
      <c r="T239" s="11" t="n">
        <f aca="false">S239*Calculator!$B$7</f>
        <v>19200</v>
      </c>
      <c r="U239" s="11" t="n">
        <f aca="false">S239*Calculator!$B$8</f>
        <v>16320</v>
      </c>
      <c r="V239" s="11" t="n">
        <f aca="false">IF(Q239&gt;0,'Tax Tables'!$B$32*MIN(MAX(Q239/'Tax Tables'!$B$32*'Tax Tables'!$B$33,'Tax Tables'!$B$34),'Tax Tables'!$B$35),0)</f>
        <v>135</v>
      </c>
      <c r="W239" s="11" t="n">
        <f aca="false">Calculator!$B$5-P239-U239-V239</f>
        <v>270545</v>
      </c>
      <c r="X239" s="11" t="n">
        <f aca="false">'Tax Tables'!$B$22*(MAX(W239,0)-IF(Calculator!$B$10="Yes",MIN(MAX(W239,0),'Tax Tables'!$B$27)*'Tax Tables'!$B$28+MIN(MAX(MAX(W239,0)-'Tax Tables'!$B$27,0),'Tax Tables'!$B$29)*'Tax Tables'!$B$30,MIN(MAX(W239,0),'Tax Tables'!$B$23)*'Tax Tables'!$B$24+MIN(MAX(MAX(W239,0)-'Tax Tables'!$B$23,0),'Tax Tables'!$B$25)*'Tax Tables'!$B$26))*1-MIN('Tax Tables'!$B$22*(MAX(W239,0)-IF(Calculator!$B$10="Yes",MIN(MAX(W239,0),'Tax Tables'!$B$27)*'Tax Tables'!$B$28+MIN(MAX(MAX(W239,0)-'Tax Tables'!$B$27,0),'Tax Tables'!$B$29)*'Tax Tables'!$B$30,MIN(MAX(W239,0),'Tax Tables'!$B$23)*'Tax Tables'!$B$24+MIN(MAX(MAX(W239,0)-'Tax Tables'!$B$23,0),'Tax Tables'!$B$25)*'Tax Tables'!$B$26))*Calculator!$B$11,Calculator!$B$12)</f>
        <v>28567.65</v>
      </c>
      <c r="Y239" s="11" t="n">
        <f aca="false">MAX(W239,0)-X239</f>
        <v>241977.35</v>
      </c>
      <c r="Z239" s="11" t="n">
        <f aca="false">MIN(IF(P239&gt;0,Calculator!$B$13,0)+T239+Calculator!$B$14,'Tax Tables'!$B$36)</f>
        <v>20200</v>
      </c>
      <c r="AA239" s="11" t="n">
        <f aca="false">MAX(P239-Z239,0)</f>
        <v>92800</v>
      </c>
      <c r="AB239" s="11" t="n">
        <f aca="false">SUMPRODUCT((AA239&gt;'Tax Tables'!$A$5:$A$17)*(AA239-'Tax Tables'!$A$5:$A$17)*'Tax Tables'!$C$5:$C$17)</f>
        <v>4822</v>
      </c>
      <c r="AC239" s="11" t="n">
        <f aca="false">IF(W239&lt;0,-1E+099,P239-T239-AB239+Y239+(T239+U239)*Calculator!$B$9)</f>
        <v>366475.35</v>
      </c>
    </row>
    <row r="240" customFormat="false" ht="15" hidden="false" customHeight="false" outlineLevel="0" collapsed="false">
      <c r="A240" s="11" t="n">
        <f aca="false">227*$B$3</f>
        <v>113500</v>
      </c>
      <c r="B240" s="11" t="n">
        <f aca="false">0</f>
        <v>0</v>
      </c>
      <c r="C240" s="11" t="n">
        <f aca="false">A240-B240</f>
        <v>113500</v>
      </c>
      <c r="D240" s="11" t="n">
        <f aca="false">IF(Calculator!$B$6="Yes",MIN(B240,'Tax Tables'!$B$31*'Tax Tables'!$B$32),0)</f>
        <v>0</v>
      </c>
      <c r="E240" s="11" t="n">
        <f aca="false">D240*Calculator!$B$7</f>
        <v>0</v>
      </c>
      <c r="F240" s="11" t="n">
        <f aca="false">D240*Calculator!$B$8</f>
        <v>0</v>
      </c>
      <c r="G240" s="11" t="n">
        <f aca="false">IF(B240&gt;0,'Tax Tables'!$B$32*MIN(MAX(B240/'Tax Tables'!$B$32*'Tax Tables'!$B$33,'Tax Tables'!$B$34),'Tax Tables'!$B$35),0)</f>
        <v>0</v>
      </c>
      <c r="H240" s="11" t="n">
        <f aca="false">Calculator!$B$5-A240-F240-G240</f>
        <v>286500</v>
      </c>
      <c r="I240" s="11" t="n">
        <f aca="false">'Tax Tables'!$B$22*(MAX(H240,0)-IF(Calculator!$B$10="Yes",MIN(MAX(H240,0),'Tax Tables'!$B$27)*'Tax Tables'!$B$28+MIN(MAX(MAX(H240,0)-'Tax Tables'!$B$27,0),'Tax Tables'!$B$29)*'Tax Tables'!$B$30,MIN(MAX(H240,0),'Tax Tables'!$B$23)*'Tax Tables'!$B$24+MIN(MAX(MAX(H240,0)-'Tax Tables'!$B$23,0),'Tax Tables'!$B$25)*'Tax Tables'!$B$26))*1-MIN('Tax Tables'!$B$22*(MAX(H240,0)-IF(Calculator!$B$10="Yes",MIN(MAX(H240,0),'Tax Tables'!$B$27)*'Tax Tables'!$B$28+MIN(MAX(MAX(H240,0)-'Tax Tables'!$B$27,0),'Tax Tables'!$B$29)*'Tax Tables'!$B$30,MIN(MAX(H240,0),'Tax Tables'!$B$23)*'Tax Tables'!$B$24+MIN(MAX(MAX(H240,0)-'Tax Tables'!$B$23,0),'Tax Tables'!$B$25)*'Tax Tables'!$B$26))*Calculator!$B$11,Calculator!$B$12)</f>
        <v>31280</v>
      </c>
      <c r="J240" s="11" t="n">
        <f aca="false">MAX(H240,0)-I240</f>
        <v>255220</v>
      </c>
      <c r="K240" s="11" t="n">
        <f aca="false">MIN(IF(A240&gt;0,Calculator!$B$13,0)+E240+Calculator!$B$14,'Tax Tables'!$B$36)</f>
        <v>1000</v>
      </c>
      <c r="L240" s="11" t="n">
        <f aca="false">MAX(A240-K240,0)</f>
        <v>112500</v>
      </c>
      <c r="M240" s="11" t="n">
        <f aca="false">SUMPRODUCT((L240&gt;'Tax Tables'!$A$5:$A$17)*(L240-'Tax Tables'!$A$5:$A$17)*'Tax Tables'!$C$5:$C$17)</f>
        <v>7087.5</v>
      </c>
      <c r="N240" s="11" t="n">
        <f aca="false">IF(H240&lt;0,-1E+099,A240-E240-M240+J240+(E240+F240)*Calculator!$B$9)</f>
        <v>361632.5</v>
      </c>
      <c r="O240" s="2"/>
      <c r="P240" s="11" t="n">
        <f aca="false">227*$B$3</f>
        <v>113500</v>
      </c>
      <c r="Q240" s="11" t="n">
        <f aca="false">MIN(P240,'Tax Tables'!$B$31*'Tax Tables'!$B$32)</f>
        <v>96000</v>
      </c>
      <c r="R240" s="11" t="n">
        <f aca="false">P240-Q240</f>
        <v>17500</v>
      </c>
      <c r="S240" s="11" t="n">
        <f aca="false">IF(Calculator!$B$6="Yes",MIN(Q240,'Tax Tables'!$B$31*'Tax Tables'!$B$32),0)</f>
        <v>96000</v>
      </c>
      <c r="T240" s="11" t="n">
        <f aca="false">S240*Calculator!$B$7</f>
        <v>19200</v>
      </c>
      <c r="U240" s="11" t="n">
        <f aca="false">S240*Calculator!$B$8</f>
        <v>16320</v>
      </c>
      <c r="V240" s="11" t="n">
        <f aca="false">IF(Q240&gt;0,'Tax Tables'!$B$32*MIN(MAX(Q240/'Tax Tables'!$B$32*'Tax Tables'!$B$33,'Tax Tables'!$B$34),'Tax Tables'!$B$35),0)</f>
        <v>135</v>
      </c>
      <c r="W240" s="11" t="n">
        <f aca="false">Calculator!$B$5-P240-U240-V240</f>
        <v>270045</v>
      </c>
      <c r="X240" s="11" t="n">
        <f aca="false">'Tax Tables'!$B$22*(MAX(W240,0)-IF(Calculator!$B$10="Yes",MIN(MAX(W240,0),'Tax Tables'!$B$27)*'Tax Tables'!$B$28+MIN(MAX(MAX(W240,0)-'Tax Tables'!$B$27,0),'Tax Tables'!$B$29)*'Tax Tables'!$B$30,MIN(MAX(W240,0),'Tax Tables'!$B$23)*'Tax Tables'!$B$24+MIN(MAX(MAX(W240,0)-'Tax Tables'!$B$23,0),'Tax Tables'!$B$25)*'Tax Tables'!$B$26))*1-MIN('Tax Tables'!$B$22*(MAX(W240,0)-IF(Calculator!$B$10="Yes",MIN(MAX(W240,0),'Tax Tables'!$B$27)*'Tax Tables'!$B$28+MIN(MAX(MAX(W240,0)-'Tax Tables'!$B$27,0),'Tax Tables'!$B$29)*'Tax Tables'!$B$30,MIN(MAX(W240,0),'Tax Tables'!$B$23)*'Tax Tables'!$B$24+MIN(MAX(MAX(W240,0)-'Tax Tables'!$B$23,0),'Tax Tables'!$B$25)*'Tax Tables'!$B$26))*Calculator!$B$11,Calculator!$B$12)</f>
        <v>28482.65</v>
      </c>
      <c r="Y240" s="11" t="n">
        <f aca="false">MAX(W240,0)-X240</f>
        <v>241562.35</v>
      </c>
      <c r="Z240" s="11" t="n">
        <f aca="false">MIN(IF(P240&gt;0,Calculator!$B$13,0)+T240+Calculator!$B$14,'Tax Tables'!$B$36)</f>
        <v>20200</v>
      </c>
      <c r="AA240" s="11" t="n">
        <f aca="false">MAX(P240-Z240,0)</f>
        <v>93300</v>
      </c>
      <c r="AB240" s="11" t="n">
        <f aca="false">SUMPRODUCT((AA240&gt;'Tax Tables'!$A$5:$A$17)*(AA240-'Tax Tables'!$A$5:$A$17)*'Tax Tables'!$C$5:$C$17)</f>
        <v>4879.5</v>
      </c>
      <c r="AC240" s="11" t="n">
        <f aca="false">IF(W240&lt;0,-1E+099,P240-T240-AB240+Y240+(T240+U240)*Calculator!$B$9)</f>
        <v>366502.85</v>
      </c>
    </row>
    <row r="241" customFormat="false" ht="15" hidden="false" customHeight="false" outlineLevel="0" collapsed="false">
      <c r="A241" s="11" t="n">
        <f aca="false">228*$B$3</f>
        <v>114000</v>
      </c>
      <c r="B241" s="11" t="n">
        <f aca="false">0</f>
        <v>0</v>
      </c>
      <c r="C241" s="11" t="n">
        <f aca="false">A241-B241</f>
        <v>114000</v>
      </c>
      <c r="D241" s="11" t="n">
        <f aca="false">IF(Calculator!$B$6="Yes",MIN(B241,'Tax Tables'!$B$31*'Tax Tables'!$B$32),0)</f>
        <v>0</v>
      </c>
      <c r="E241" s="11" t="n">
        <f aca="false">D241*Calculator!$B$7</f>
        <v>0</v>
      </c>
      <c r="F241" s="11" t="n">
        <f aca="false">D241*Calculator!$B$8</f>
        <v>0</v>
      </c>
      <c r="G241" s="11" t="n">
        <f aca="false">IF(B241&gt;0,'Tax Tables'!$B$32*MIN(MAX(B241/'Tax Tables'!$B$32*'Tax Tables'!$B$33,'Tax Tables'!$B$34),'Tax Tables'!$B$35),0)</f>
        <v>0</v>
      </c>
      <c r="H241" s="11" t="n">
        <f aca="false">Calculator!$B$5-A241-F241-G241</f>
        <v>286000</v>
      </c>
      <c r="I241" s="11" t="n">
        <f aca="false">'Tax Tables'!$B$22*(MAX(H241,0)-IF(Calculator!$B$10="Yes",MIN(MAX(H241,0),'Tax Tables'!$B$27)*'Tax Tables'!$B$28+MIN(MAX(MAX(H241,0)-'Tax Tables'!$B$27,0),'Tax Tables'!$B$29)*'Tax Tables'!$B$30,MIN(MAX(H241,0),'Tax Tables'!$B$23)*'Tax Tables'!$B$24+MIN(MAX(MAX(H241,0)-'Tax Tables'!$B$23,0),'Tax Tables'!$B$25)*'Tax Tables'!$B$26))*1-MIN('Tax Tables'!$B$22*(MAX(H241,0)-IF(Calculator!$B$10="Yes",MIN(MAX(H241,0),'Tax Tables'!$B$27)*'Tax Tables'!$B$28+MIN(MAX(MAX(H241,0)-'Tax Tables'!$B$27,0),'Tax Tables'!$B$29)*'Tax Tables'!$B$30,MIN(MAX(H241,0),'Tax Tables'!$B$23)*'Tax Tables'!$B$24+MIN(MAX(MAX(H241,0)-'Tax Tables'!$B$23,0),'Tax Tables'!$B$25)*'Tax Tables'!$B$26))*Calculator!$B$11,Calculator!$B$12)</f>
        <v>31195</v>
      </c>
      <c r="J241" s="11" t="n">
        <f aca="false">MAX(H241,0)-I241</f>
        <v>254805</v>
      </c>
      <c r="K241" s="11" t="n">
        <f aca="false">MIN(IF(A241&gt;0,Calculator!$B$13,0)+E241+Calculator!$B$14,'Tax Tables'!$B$36)</f>
        <v>1000</v>
      </c>
      <c r="L241" s="11" t="n">
        <f aca="false">MAX(A241-K241,0)</f>
        <v>113000</v>
      </c>
      <c r="M241" s="11" t="n">
        <f aca="false">SUMPRODUCT((L241&gt;'Tax Tables'!$A$5:$A$17)*(L241-'Tax Tables'!$A$5:$A$17)*'Tax Tables'!$C$5:$C$17)</f>
        <v>7145</v>
      </c>
      <c r="N241" s="11" t="n">
        <f aca="false">IF(H241&lt;0,-1E+099,A241-E241-M241+J241+(E241+F241)*Calculator!$B$9)</f>
        <v>361660</v>
      </c>
      <c r="O241" s="2"/>
      <c r="P241" s="11" t="n">
        <f aca="false">228*$B$3</f>
        <v>114000</v>
      </c>
      <c r="Q241" s="11" t="n">
        <f aca="false">MIN(P241,'Tax Tables'!$B$31*'Tax Tables'!$B$32)</f>
        <v>96000</v>
      </c>
      <c r="R241" s="11" t="n">
        <f aca="false">P241-Q241</f>
        <v>18000</v>
      </c>
      <c r="S241" s="11" t="n">
        <f aca="false">IF(Calculator!$B$6="Yes",MIN(Q241,'Tax Tables'!$B$31*'Tax Tables'!$B$32),0)</f>
        <v>96000</v>
      </c>
      <c r="T241" s="11" t="n">
        <f aca="false">S241*Calculator!$B$7</f>
        <v>19200</v>
      </c>
      <c r="U241" s="11" t="n">
        <f aca="false">S241*Calculator!$B$8</f>
        <v>16320</v>
      </c>
      <c r="V241" s="11" t="n">
        <f aca="false">IF(Q241&gt;0,'Tax Tables'!$B$32*MIN(MAX(Q241/'Tax Tables'!$B$32*'Tax Tables'!$B$33,'Tax Tables'!$B$34),'Tax Tables'!$B$35),0)</f>
        <v>135</v>
      </c>
      <c r="W241" s="11" t="n">
        <f aca="false">Calculator!$B$5-P241-U241-V241</f>
        <v>269545</v>
      </c>
      <c r="X241" s="11" t="n">
        <f aca="false">'Tax Tables'!$B$22*(MAX(W241,0)-IF(Calculator!$B$10="Yes",MIN(MAX(W241,0),'Tax Tables'!$B$27)*'Tax Tables'!$B$28+MIN(MAX(MAX(W241,0)-'Tax Tables'!$B$27,0),'Tax Tables'!$B$29)*'Tax Tables'!$B$30,MIN(MAX(W241,0),'Tax Tables'!$B$23)*'Tax Tables'!$B$24+MIN(MAX(MAX(W241,0)-'Tax Tables'!$B$23,0),'Tax Tables'!$B$25)*'Tax Tables'!$B$26))*1-MIN('Tax Tables'!$B$22*(MAX(W241,0)-IF(Calculator!$B$10="Yes",MIN(MAX(W241,0),'Tax Tables'!$B$27)*'Tax Tables'!$B$28+MIN(MAX(MAX(W241,0)-'Tax Tables'!$B$27,0),'Tax Tables'!$B$29)*'Tax Tables'!$B$30,MIN(MAX(W241,0),'Tax Tables'!$B$23)*'Tax Tables'!$B$24+MIN(MAX(MAX(W241,0)-'Tax Tables'!$B$23,0),'Tax Tables'!$B$25)*'Tax Tables'!$B$26))*Calculator!$B$11,Calculator!$B$12)</f>
        <v>28397.65</v>
      </c>
      <c r="Y241" s="11" t="n">
        <f aca="false">MAX(W241,0)-X241</f>
        <v>241147.35</v>
      </c>
      <c r="Z241" s="11" t="n">
        <f aca="false">MIN(IF(P241&gt;0,Calculator!$B$13,0)+T241+Calculator!$B$14,'Tax Tables'!$B$36)</f>
        <v>20200</v>
      </c>
      <c r="AA241" s="11" t="n">
        <f aca="false">MAX(P241-Z241,0)</f>
        <v>93800</v>
      </c>
      <c r="AB241" s="11" t="n">
        <f aca="false">SUMPRODUCT((AA241&gt;'Tax Tables'!$A$5:$A$17)*(AA241-'Tax Tables'!$A$5:$A$17)*'Tax Tables'!$C$5:$C$17)</f>
        <v>4937</v>
      </c>
      <c r="AC241" s="11" t="n">
        <f aca="false">IF(W241&lt;0,-1E+099,P241-T241-AB241+Y241+(T241+U241)*Calculator!$B$9)</f>
        <v>366530.35</v>
      </c>
    </row>
    <row r="242" customFormat="false" ht="15" hidden="false" customHeight="false" outlineLevel="0" collapsed="false">
      <c r="A242" s="11" t="n">
        <f aca="false">229*$B$3</f>
        <v>114500</v>
      </c>
      <c r="B242" s="11" t="n">
        <f aca="false">0</f>
        <v>0</v>
      </c>
      <c r="C242" s="11" t="n">
        <f aca="false">A242-B242</f>
        <v>114500</v>
      </c>
      <c r="D242" s="11" t="n">
        <f aca="false">IF(Calculator!$B$6="Yes",MIN(B242,'Tax Tables'!$B$31*'Tax Tables'!$B$32),0)</f>
        <v>0</v>
      </c>
      <c r="E242" s="11" t="n">
        <f aca="false">D242*Calculator!$B$7</f>
        <v>0</v>
      </c>
      <c r="F242" s="11" t="n">
        <f aca="false">D242*Calculator!$B$8</f>
        <v>0</v>
      </c>
      <c r="G242" s="11" t="n">
        <f aca="false">IF(B242&gt;0,'Tax Tables'!$B$32*MIN(MAX(B242/'Tax Tables'!$B$32*'Tax Tables'!$B$33,'Tax Tables'!$B$34),'Tax Tables'!$B$35),0)</f>
        <v>0</v>
      </c>
      <c r="H242" s="11" t="n">
        <f aca="false">Calculator!$B$5-A242-F242-G242</f>
        <v>285500</v>
      </c>
      <c r="I242" s="11" t="n">
        <f aca="false">'Tax Tables'!$B$22*(MAX(H242,0)-IF(Calculator!$B$10="Yes",MIN(MAX(H242,0),'Tax Tables'!$B$27)*'Tax Tables'!$B$28+MIN(MAX(MAX(H242,0)-'Tax Tables'!$B$27,0),'Tax Tables'!$B$29)*'Tax Tables'!$B$30,MIN(MAX(H242,0),'Tax Tables'!$B$23)*'Tax Tables'!$B$24+MIN(MAX(MAX(H242,0)-'Tax Tables'!$B$23,0),'Tax Tables'!$B$25)*'Tax Tables'!$B$26))*1-MIN('Tax Tables'!$B$22*(MAX(H242,0)-IF(Calculator!$B$10="Yes",MIN(MAX(H242,0),'Tax Tables'!$B$27)*'Tax Tables'!$B$28+MIN(MAX(MAX(H242,0)-'Tax Tables'!$B$27,0),'Tax Tables'!$B$29)*'Tax Tables'!$B$30,MIN(MAX(H242,0),'Tax Tables'!$B$23)*'Tax Tables'!$B$24+MIN(MAX(MAX(H242,0)-'Tax Tables'!$B$23,0),'Tax Tables'!$B$25)*'Tax Tables'!$B$26))*Calculator!$B$11,Calculator!$B$12)</f>
        <v>31110</v>
      </c>
      <c r="J242" s="11" t="n">
        <f aca="false">MAX(H242,0)-I242</f>
        <v>254390</v>
      </c>
      <c r="K242" s="11" t="n">
        <f aca="false">MIN(IF(A242&gt;0,Calculator!$B$13,0)+E242+Calculator!$B$14,'Tax Tables'!$B$36)</f>
        <v>1000</v>
      </c>
      <c r="L242" s="11" t="n">
        <f aca="false">MAX(A242-K242,0)</f>
        <v>113500</v>
      </c>
      <c r="M242" s="11" t="n">
        <f aca="false">SUMPRODUCT((L242&gt;'Tax Tables'!$A$5:$A$17)*(L242-'Tax Tables'!$A$5:$A$17)*'Tax Tables'!$C$5:$C$17)</f>
        <v>7202.5</v>
      </c>
      <c r="N242" s="11" t="n">
        <f aca="false">IF(H242&lt;0,-1E+099,A242-E242-M242+J242+(E242+F242)*Calculator!$B$9)</f>
        <v>361687.5</v>
      </c>
      <c r="O242" s="2"/>
      <c r="P242" s="11" t="n">
        <f aca="false">229*$B$3</f>
        <v>114500</v>
      </c>
      <c r="Q242" s="11" t="n">
        <f aca="false">MIN(P242,'Tax Tables'!$B$31*'Tax Tables'!$B$32)</f>
        <v>96000</v>
      </c>
      <c r="R242" s="11" t="n">
        <f aca="false">P242-Q242</f>
        <v>18500</v>
      </c>
      <c r="S242" s="11" t="n">
        <f aca="false">IF(Calculator!$B$6="Yes",MIN(Q242,'Tax Tables'!$B$31*'Tax Tables'!$B$32),0)</f>
        <v>96000</v>
      </c>
      <c r="T242" s="11" t="n">
        <f aca="false">S242*Calculator!$B$7</f>
        <v>19200</v>
      </c>
      <c r="U242" s="11" t="n">
        <f aca="false">S242*Calculator!$B$8</f>
        <v>16320</v>
      </c>
      <c r="V242" s="11" t="n">
        <f aca="false">IF(Q242&gt;0,'Tax Tables'!$B$32*MIN(MAX(Q242/'Tax Tables'!$B$32*'Tax Tables'!$B$33,'Tax Tables'!$B$34),'Tax Tables'!$B$35),0)</f>
        <v>135</v>
      </c>
      <c r="W242" s="11" t="n">
        <f aca="false">Calculator!$B$5-P242-U242-V242</f>
        <v>269045</v>
      </c>
      <c r="X242" s="11" t="n">
        <f aca="false">'Tax Tables'!$B$22*(MAX(W242,0)-IF(Calculator!$B$10="Yes",MIN(MAX(W242,0),'Tax Tables'!$B$27)*'Tax Tables'!$B$28+MIN(MAX(MAX(W242,0)-'Tax Tables'!$B$27,0),'Tax Tables'!$B$29)*'Tax Tables'!$B$30,MIN(MAX(W242,0),'Tax Tables'!$B$23)*'Tax Tables'!$B$24+MIN(MAX(MAX(W242,0)-'Tax Tables'!$B$23,0),'Tax Tables'!$B$25)*'Tax Tables'!$B$26))*1-MIN('Tax Tables'!$B$22*(MAX(W242,0)-IF(Calculator!$B$10="Yes",MIN(MAX(W242,0),'Tax Tables'!$B$27)*'Tax Tables'!$B$28+MIN(MAX(MAX(W242,0)-'Tax Tables'!$B$27,0),'Tax Tables'!$B$29)*'Tax Tables'!$B$30,MIN(MAX(W242,0),'Tax Tables'!$B$23)*'Tax Tables'!$B$24+MIN(MAX(MAX(W242,0)-'Tax Tables'!$B$23,0),'Tax Tables'!$B$25)*'Tax Tables'!$B$26))*Calculator!$B$11,Calculator!$B$12)</f>
        <v>28312.65</v>
      </c>
      <c r="Y242" s="11" t="n">
        <f aca="false">MAX(W242,0)-X242</f>
        <v>240732.35</v>
      </c>
      <c r="Z242" s="11" t="n">
        <f aca="false">MIN(IF(P242&gt;0,Calculator!$B$13,0)+T242+Calculator!$B$14,'Tax Tables'!$B$36)</f>
        <v>20200</v>
      </c>
      <c r="AA242" s="11" t="n">
        <f aca="false">MAX(P242-Z242,0)</f>
        <v>94300</v>
      </c>
      <c r="AB242" s="11" t="n">
        <f aca="false">SUMPRODUCT((AA242&gt;'Tax Tables'!$A$5:$A$17)*(AA242-'Tax Tables'!$A$5:$A$17)*'Tax Tables'!$C$5:$C$17)</f>
        <v>4994.5</v>
      </c>
      <c r="AC242" s="11" t="n">
        <f aca="false">IF(W242&lt;0,-1E+099,P242-T242-AB242+Y242+(T242+U242)*Calculator!$B$9)</f>
        <v>366557.85</v>
      </c>
    </row>
    <row r="243" customFormat="false" ht="15" hidden="false" customHeight="false" outlineLevel="0" collapsed="false">
      <c r="A243" s="11" t="n">
        <f aca="false">230*$B$3</f>
        <v>115000</v>
      </c>
      <c r="B243" s="11" t="n">
        <f aca="false">0</f>
        <v>0</v>
      </c>
      <c r="C243" s="11" t="n">
        <f aca="false">A243-B243</f>
        <v>115000</v>
      </c>
      <c r="D243" s="11" t="n">
        <f aca="false">IF(Calculator!$B$6="Yes",MIN(B243,'Tax Tables'!$B$31*'Tax Tables'!$B$32),0)</f>
        <v>0</v>
      </c>
      <c r="E243" s="11" t="n">
        <f aca="false">D243*Calculator!$B$7</f>
        <v>0</v>
      </c>
      <c r="F243" s="11" t="n">
        <f aca="false">D243*Calculator!$B$8</f>
        <v>0</v>
      </c>
      <c r="G243" s="11" t="n">
        <f aca="false">IF(B243&gt;0,'Tax Tables'!$B$32*MIN(MAX(B243/'Tax Tables'!$B$32*'Tax Tables'!$B$33,'Tax Tables'!$B$34),'Tax Tables'!$B$35),0)</f>
        <v>0</v>
      </c>
      <c r="H243" s="11" t="n">
        <f aca="false">Calculator!$B$5-A243-F243-G243</f>
        <v>285000</v>
      </c>
      <c r="I243" s="11" t="n">
        <f aca="false">'Tax Tables'!$B$22*(MAX(H243,0)-IF(Calculator!$B$10="Yes",MIN(MAX(H243,0),'Tax Tables'!$B$27)*'Tax Tables'!$B$28+MIN(MAX(MAX(H243,0)-'Tax Tables'!$B$27,0),'Tax Tables'!$B$29)*'Tax Tables'!$B$30,MIN(MAX(H243,0),'Tax Tables'!$B$23)*'Tax Tables'!$B$24+MIN(MAX(MAX(H243,0)-'Tax Tables'!$B$23,0),'Tax Tables'!$B$25)*'Tax Tables'!$B$26))*1-MIN('Tax Tables'!$B$22*(MAX(H243,0)-IF(Calculator!$B$10="Yes",MIN(MAX(H243,0),'Tax Tables'!$B$27)*'Tax Tables'!$B$28+MIN(MAX(MAX(H243,0)-'Tax Tables'!$B$27,0),'Tax Tables'!$B$29)*'Tax Tables'!$B$30,MIN(MAX(H243,0),'Tax Tables'!$B$23)*'Tax Tables'!$B$24+MIN(MAX(MAX(H243,0)-'Tax Tables'!$B$23,0),'Tax Tables'!$B$25)*'Tax Tables'!$B$26))*Calculator!$B$11,Calculator!$B$12)</f>
        <v>31025</v>
      </c>
      <c r="J243" s="11" t="n">
        <f aca="false">MAX(H243,0)-I243</f>
        <v>253975</v>
      </c>
      <c r="K243" s="11" t="n">
        <f aca="false">MIN(IF(A243&gt;0,Calculator!$B$13,0)+E243+Calculator!$B$14,'Tax Tables'!$B$36)</f>
        <v>1000</v>
      </c>
      <c r="L243" s="11" t="n">
        <f aca="false">MAX(A243-K243,0)</f>
        <v>114000</v>
      </c>
      <c r="M243" s="11" t="n">
        <f aca="false">SUMPRODUCT((L243&gt;'Tax Tables'!$A$5:$A$17)*(L243-'Tax Tables'!$A$5:$A$17)*'Tax Tables'!$C$5:$C$17)</f>
        <v>7260</v>
      </c>
      <c r="N243" s="11" t="n">
        <f aca="false">IF(H243&lt;0,-1E+099,A243-E243-M243+J243+(E243+F243)*Calculator!$B$9)</f>
        <v>361715</v>
      </c>
      <c r="O243" s="2"/>
      <c r="P243" s="11" t="n">
        <f aca="false">230*$B$3</f>
        <v>115000</v>
      </c>
      <c r="Q243" s="11" t="n">
        <f aca="false">MIN(P243,'Tax Tables'!$B$31*'Tax Tables'!$B$32)</f>
        <v>96000</v>
      </c>
      <c r="R243" s="11" t="n">
        <f aca="false">P243-Q243</f>
        <v>19000</v>
      </c>
      <c r="S243" s="11" t="n">
        <f aca="false">IF(Calculator!$B$6="Yes",MIN(Q243,'Tax Tables'!$B$31*'Tax Tables'!$B$32),0)</f>
        <v>96000</v>
      </c>
      <c r="T243" s="11" t="n">
        <f aca="false">S243*Calculator!$B$7</f>
        <v>19200</v>
      </c>
      <c r="U243" s="11" t="n">
        <f aca="false">S243*Calculator!$B$8</f>
        <v>16320</v>
      </c>
      <c r="V243" s="11" t="n">
        <f aca="false">IF(Q243&gt;0,'Tax Tables'!$B$32*MIN(MAX(Q243/'Tax Tables'!$B$32*'Tax Tables'!$B$33,'Tax Tables'!$B$34),'Tax Tables'!$B$35),0)</f>
        <v>135</v>
      </c>
      <c r="W243" s="11" t="n">
        <f aca="false">Calculator!$B$5-P243-U243-V243</f>
        <v>268545</v>
      </c>
      <c r="X243" s="11" t="n">
        <f aca="false">'Tax Tables'!$B$22*(MAX(W243,0)-IF(Calculator!$B$10="Yes",MIN(MAX(W243,0),'Tax Tables'!$B$27)*'Tax Tables'!$B$28+MIN(MAX(MAX(W243,0)-'Tax Tables'!$B$27,0),'Tax Tables'!$B$29)*'Tax Tables'!$B$30,MIN(MAX(W243,0),'Tax Tables'!$B$23)*'Tax Tables'!$B$24+MIN(MAX(MAX(W243,0)-'Tax Tables'!$B$23,0),'Tax Tables'!$B$25)*'Tax Tables'!$B$26))*1-MIN('Tax Tables'!$B$22*(MAX(W243,0)-IF(Calculator!$B$10="Yes",MIN(MAX(W243,0),'Tax Tables'!$B$27)*'Tax Tables'!$B$28+MIN(MAX(MAX(W243,0)-'Tax Tables'!$B$27,0),'Tax Tables'!$B$29)*'Tax Tables'!$B$30,MIN(MAX(W243,0),'Tax Tables'!$B$23)*'Tax Tables'!$B$24+MIN(MAX(MAX(W243,0)-'Tax Tables'!$B$23,0),'Tax Tables'!$B$25)*'Tax Tables'!$B$26))*Calculator!$B$11,Calculator!$B$12)</f>
        <v>28227.65</v>
      </c>
      <c r="Y243" s="11" t="n">
        <f aca="false">MAX(W243,0)-X243</f>
        <v>240317.35</v>
      </c>
      <c r="Z243" s="11" t="n">
        <f aca="false">MIN(IF(P243&gt;0,Calculator!$B$13,0)+T243+Calculator!$B$14,'Tax Tables'!$B$36)</f>
        <v>20200</v>
      </c>
      <c r="AA243" s="11" t="n">
        <f aca="false">MAX(P243-Z243,0)</f>
        <v>94800</v>
      </c>
      <c r="AB243" s="11" t="n">
        <f aca="false">SUMPRODUCT((AA243&gt;'Tax Tables'!$A$5:$A$17)*(AA243-'Tax Tables'!$A$5:$A$17)*'Tax Tables'!$C$5:$C$17)</f>
        <v>5052</v>
      </c>
      <c r="AC243" s="11" t="n">
        <f aca="false">IF(W243&lt;0,-1E+099,P243-T243-AB243+Y243+(T243+U243)*Calculator!$B$9)</f>
        <v>366585.35</v>
      </c>
    </row>
    <row r="244" customFormat="false" ht="15" hidden="false" customHeight="false" outlineLevel="0" collapsed="false">
      <c r="A244" s="11" t="n">
        <f aca="false">231*$B$3</f>
        <v>115500</v>
      </c>
      <c r="B244" s="11" t="n">
        <f aca="false">0</f>
        <v>0</v>
      </c>
      <c r="C244" s="11" t="n">
        <f aca="false">A244-B244</f>
        <v>115500</v>
      </c>
      <c r="D244" s="11" t="n">
        <f aca="false">IF(Calculator!$B$6="Yes",MIN(B244,'Tax Tables'!$B$31*'Tax Tables'!$B$32),0)</f>
        <v>0</v>
      </c>
      <c r="E244" s="11" t="n">
        <f aca="false">D244*Calculator!$B$7</f>
        <v>0</v>
      </c>
      <c r="F244" s="11" t="n">
        <f aca="false">D244*Calculator!$B$8</f>
        <v>0</v>
      </c>
      <c r="G244" s="11" t="n">
        <f aca="false">IF(B244&gt;0,'Tax Tables'!$B$32*MIN(MAX(B244/'Tax Tables'!$B$32*'Tax Tables'!$B$33,'Tax Tables'!$B$34),'Tax Tables'!$B$35),0)</f>
        <v>0</v>
      </c>
      <c r="H244" s="11" t="n">
        <f aca="false">Calculator!$B$5-A244-F244-G244</f>
        <v>284500</v>
      </c>
      <c r="I244" s="11" t="n">
        <f aca="false">'Tax Tables'!$B$22*(MAX(H244,0)-IF(Calculator!$B$10="Yes",MIN(MAX(H244,0),'Tax Tables'!$B$27)*'Tax Tables'!$B$28+MIN(MAX(MAX(H244,0)-'Tax Tables'!$B$27,0),'Tax Tables'!$B$29)*'Tax Tables'!$B$30,MIN(MAX(H244,0),'Tax Tables'!$B$23)*'Tax Tables'!$B$24+MIN(MAX(MAX(H244,0)-'Tax Tables'!$B$23,0),'Tax Tables'!$B$25)*'Tax Tables'!$B$26))*1-MIN('Tax Tables'!$B$22*(MAX(H244,0)-IF(Calculator!$B$10="Yes",MIN(MAX(H244,0),'Tax Tables'!$B$27)*'Tax Tables'!$B$28+MIN(MAX(MAX(H244,0)-'Tax Tables'!$B$27,0),'Tax Tables'!$B$29)*'Tax Tables'!$B$30,MIN(MAX(H244,0),'Tax Tables'!$B$23)*'Tax Tables'!$B$24+MIN(MAX(MAX(H244,0)-'Tax Tables'!$B$23,0),'Tax Tables'!$B$25)*'Tax Tables'!$B$26))*Calculator!$B$11,Calculator!$B$12)</f>
        <v>30940</v>
      </c>
      <c r="J244" s="11" t="n">
        <f aca="false">MAX(H244,0)-I244</f>
        <v>253560</v>
      </c>
      <c r="K244" s="11" t="n">
        <f aca="false">MIN(IF(A244&gt;0,Calculator!$B$13,0)+E244+Calculator!$B$14,'Tax Tables'!$B$36)</f>
        <v>1000</v>
      </c>
      <c r="L244" s="11" t="n">
        <f aca="false">MAX(A244-K244,0)</f>
        <v>114500</v>
      </c>
      <c r="M244" s="11" t="n">
        <f aca="false">SUMPRODUCT((L244&gt;'Tax Tables'!$A$5:$A$17)*(L244-'Tax Tables'!$A$5:$A$17)*'Tax Tables'!$C$5:$C$17)</f>
        <v>7317.5</v>
      </c>
      <c r="N244" s="11" t="n">
        <f aca="false">IF(H244&lt;0,-1E+099,A244-E244-M244+J244+(E244+F244)*Calculator!$B$9)</f>
        <v>361742.5</v>
      </c>
      <c r="O244" s="2"/>
      <c r="P244" s="11" t="n">
        <f aca="false">231*$B$3</f>
        <v>115500</v>
      </c>
      <c r="Q244" s="11" t="n">
        <f aca="false">MIN(P244,'Tax Tables'!$B$31*'Tax Tables'!$B$32)</f>
        <v>96000</v>
      </c>
      <c r="R244" s="11" t="n">
        <f aca="false">P244-Q244</f>
        <v>19500</v>
      </c>
      <c r="S244" s="11" t="n">
        <f aca="false">IF(Calculator!$B$6="Yes",MIN(Q244,'Tax Tables'!$B$31*'Tax Tables'!$B$32),0)</f>
        <v>96000</v>
      </c>
      <c r="T244" s="11" t="n">
        <f aca="false">S244*Calculator!$B$7</f>
        <v>19200</v>
      </c>
      <c r="U244" s="11" t="n">
        <f aca="false">S244*Calculator!$B$8</f>
        <v>16320</v>
      </c>
      <c r="V244" s="11" t="n">
        <f aca="false">IF(Q244&gt;0,'Tax Tables'!$B$32*MIN(MAX(Q244/'Tax Tables'!$B$32*'Tax Tables'!$B$33,'Tax Tables'!$B$34),'Tax Tables'!$B$35),0)</f>
        <v>135</v>
      </c>
      <c r="W244" s="11" t="n">
        <f aca="false">Calculator!$B$5-P244-U244-V244</f>
        <v>268045</v>
      </c>
      <c r="X244" s="11" t="n">
        <f aca="false">'Tax Tables'!$B$22*(MAX(W244,0)-IF(Calculator!$B$10="Yes",MIN(MAX(W244,0),'Tax Tables'!$B$27)*'Tax Tables'!$B$28+MIN(MAX(MAX(W244,0)-'Tax Tables'!$B$27,0),'Tax Tables'!$B$29)*'Tax Tables'!$B$30,MIN(MAX(W244,0),'Tax Tables'!$B$23)*'Tax Tables'!$B$24+MIN(MAX(MAX(W244,0)-'Tax Tables'!$B$23,0),'Tax Tables'!$B$25)*'Tax Tables'!$B$26))*1-MIN('Tax Tables'!$B$22*(MAX(W244,0)-IF(Calculator!$B$10="Yes",MIN(MAX(W244,0),'Tax Tables'!$B$27)*'Tax Tables'!$B$28+MIN(MAX(MAX(W244,0)-'Tax Tables'!$B$27,0),'Tax Tables'!$B$29)*'Tax Tables'!$B$30,MIN(MAX(W244,0),'Tax Tables'!$B$23)*'Tax Tables'!$B$24+MIN(MAX(MAX(W244,0)-'Tax Tables'!$B$23,0),'Tax Tables'!$B$25)*'Tax Tables'!$B$26))*Calculator!$B$11,Calculator!$B$12)</f>
        <v>28142.65</v>
      </c>
      <c r="Y244" s="11" t="n">
        <f aca="false">MAX(W244,0)-X244</f>
        <v>239902.35</v>
      </c>
      <c r="Z244" s="11" t="n">
        <f aca="false">MIN(IF(P244&gt;0,Calculator!$B$13,0)+T244+Calculator!$B$14,'Tax Tables'!$B$36)</f>
        <v>20200</v>
      </c>
      <c r="AA244" s="11" t="n">
        <f aca="false">MAX(P244-Z244,0)</f>
        <v>95300</v>
      </c>
      <c r="AB244" s="11" t="n">
        <f aca="false">SUMPRODUCT((AA244&gt;'Tax Tables'!$A$5:$A$17)*(AA244-'Tax Tables'!$A$5:$A$17)*'Tax Tables'!$C$5:$C$17)</f>
        <v>5109.5</v>
      </c>
      <c r="AC244" s="11" t="n">
        <f aca="false">IF(W244&lt;0,-1E+099,P244-T244-AB244+Y244+(T244+U244)*Calculator!$B$9)</f>
        <v>366612.85</v>
      </c>
    </row>
    <row r="245" customFormat="false" ht="15" hidden="false" customHeight="false" outlineLevel="0" collapsed="false">
      <c r="A245" s="11" t="n">
        <f aca="false">232*$B$3</f>
        <v>116000</v>
      </c>
      <c r="B245" s="11" t="n">
        <f aca="false">0</f>
        <v>0</v>
      </c>
      <c r="C245" s="11" t="n">
        <f aca="false">A245-B245</f>
        <v>116000</v>
      </c>
      <c r="D245" s="11" t="n">
        <f aca="false">IF(Calculator!$B$6="Yes",MIN(B245,'Tax Tables'!$B$31*'Tax Tables'!$B$32),0)</f>
        <v>0</v>
      </c>
      <c r="E245" s="11" t="n">
        <f aca="false">D245*Calculator!$B$7</f>
        <v>0</v>
      </c>
      <c r="F245" s="11" t="n">
        <f aca="false">D245*Calculator!$B$8</f>
        <v>0</v>
      </c>
      <c r="G245" s="11" t="n">
        <f aca="false">IF(B245&gt;0,'Tax Tables'!$B$32*MIN(MAX(B245/'Tax Tables'!$B$32*'Tax Tables'!$B$33,'Tax Tables'!$B$34),'Tax Tables'!$B$35),0)</f>
        <v>0</v>
      </c>
      <c r="H245" s="11" t="n">
        <f aca="false">Calculator!$B$5-A245-F245-G245</f>
        <v>284000</v>
      </c>
      <c r="I245" s="11" t="n">
        <f aca="false">'Tax Tables'!$B$22*(MAX(H245,0)-IF(Calculator!$B$10="Yes",MIN(MAX(H245,0),'Tax Tables'!$B$27)*'Tax Tables'!$B$28+MIN(MAX(MAX(H245,0)-'Tax Tables'!$B$27,0),'Tax Tables'!$B$29)*'Tax Tables'!$B$30,MIN(MAX(H245,0),'Tax Tables'!$B$23)*'Tax Tables'!$B$24+MIN(MAX(MAX(H245,0)-'Tax Tables'!$B$23,0),'Tax Tables'!$B$25)*'Tax Tables'!$B$26))*1-MIN('Tax Tables'!$B$22*(MAX(H245,0)-IF(Calculator!$B$10="Yes",MIN(MAX(H245,0),'Tax Tables'!$B$27)*'Tax Tables'!$B$28+MIN(MAX(MAX(H245,0)-'Tax Tables'!$B$27,0),'Tax Tables'!$B$29)*'Tax Tables'!$B$30,MIN(MAX(H245,0),'Tax Tables'!$B$23)*'Tax Tables'!$B$24+MIN(MAX(MAX(H245,0)-'Tax Tables'!$B$23,0),'Tax Tables'!$B$25)*'Tax Tables'!$B$26))*Calculator!$B$11,Calculator!$B$12)</f>
        <v>30855</v>
      </c>
      <c r="J245" s="11" t="n">
        <f aca="false">MAX(H245,0)-I245</f>
        <v>253145</v>
      </c>
      <c r="K245" s="11" t="n">
        <f aca="false">MIN(IF(A245&gt;0,Calculator!$B$13,0)+E245+Calculator!$B$14,'Tax Tables'!$B$36)</f>
        <v>1000</v>
      </c>
      <c r="L245" s="11" t="n">
        <f aca="false">MAX(A245-K245,0)</f>
        <v>115000</v>
      </c>
      <c r="M245" s="11" t="n">
        <f aca="false">SUMPRODUCT((L245&gt;'Tax Tables'!$A$5:$A$17)*(L245-'Tax Tables'!$A$5:$A$17)*'Tax Tables'!$C$5:$C$17)</f>
        <v>7375</v>
      </c>
      <c r="N245" s="11" t="n">
        <f aca="false">IF(H245&lt;0,-1E+099,A245-E245-M245+J245+(E245+F245)*Calculator!$B$9)</f>
        <v>361770</v>
      </c>
      <c r="O245" s="2"/>
      <c r="P245" s="11" t="n">
        <f aca="false">232*$B$3</f>
        <v>116000</v>
      </c>
      <c r="Q245" s="11" t="n">
        <f aca="false">MIN(P245,'Tax Tables'!$B$31*'Tax Tables'!$B$32)</f>
        <v>96000</v>
      </c>
      <c r="R245" s="11" t="n">
        <f aca="false">P245-Q245</f>
        <v>20000</v>
      </c>
      <c r="S245" s="11" t="n">
        <f aca="false">IF(Calculator!$B$6="Yes",MIN(Q245,'Tax Tables'!$B$31*'Tax Tables'!$B$32),0)</f>
        <v>96000</v>
      </c>
      <c r="T245" s="11" t="n">
        <f aca="false">S245*Calculator!$B$7</f>
        <v>19200</v>
      </c>
      <c r="U245" s="11" t="n">
        <f aca="false">S245*Calculator!$B$8</f>
        <v>16320</v>
      </c>
      <c r="V245" s="11" t="n">
        <f aca="false">IF(Q245&gt;0,'Tax Tables'!$B$32*MIN(MAX(Q245/'Tax Tables'!$B$32*'Tax Tables'!$B$33,'Tax Tables'!$B$34),'Tax Tables'!$B$35),0)</f>
        <v>135</v>
      </c>
      <c r="W245" s="11" t="n">
        <f aca="false">Calculator!$B$5-P245-U245-V245</f>
        <v>267545</v>
      </c>
      <c r="X245" s="11" t="n">
        <f aca="false">'Tax Tables'!$B$22*(MAX(W245,0)-IF(Calculator!$B$10="Yes",MIN(MAX(W245,0),'Tax Tables'!$B$27)*'Tax Tables'!$B$28+MIN(MAX(MAX(W245,0)-'Tax Tables'!$B$27,0),'Tax Tables'!$B$29)*'Tax Tables'!$B$30,MIN(MAX(W245,0),'Tax Tables'!$B$23)*'Tax Tables'!$B$24+MIN(MAX(MAX(W245,0)-'Tax Tables'!$B$23,0),'Tax Tables'!$B$25)*'Tax Tables'!$B$26))*1-MIN('Tax Tables'!$B$22*(MAX(W245,0)-IF(Calculator!$B$10="Yes",MIN(MAX(W245,0),'Tax Tables'!$B$27)*'Tax Tables'!$B$28+MIN(MAX(MAX(W245,0)-'Tax Tables'!$B$27,0),'Tax Tables'!$B$29)*'Tax Tables'!$B$30,MIN(MAX(W245,0),'Tax Tables'!$B$23)*'Tax Tables'!$B$24+MIN(MAX(MAX(W245,0)-'Tax Tables'!$B$23,0),'Tax Tables'!$B$25)*'Tax Tables'!$B$26))*Calculator!$B$11,Calculator!$B$12)</f>
        <v>28057.65</v>
      </c>
      <c r="Y245" s="11" t="n">
        <f aca="false">MAX(W245,0)-X245</f>
        <v>239487.35</v>
      </c>
      <c r="Z245" s="11" t="n">
        <f aca="false">MIN(IF(P245&gt;0,Calculator!$B$13,0)+T245+Calculator!$B$14,'Tax Tables'!$B$36)</f>
        <v>20200</v>
      </c>
      <c r="AA245" s="11" t="n">
        <f aca="false">MAX(P245-Z245,0)</f>
        <v>95800</v>
      </c>
      <c r="AB245" s="11" t="n">
        <f aca="false">SUMPRODUCT((AA245&gt;'Tax Tables'!$A$5:$A$17)*(AA245-'Tax Tables'!$A$5:$A$17)*'Tax Tables'!$C$5:$C$17)</f>
        <v>5167</v>
      </c>
      <c r="AC245" s="11" t="n">
        <f aca="false">IF(W245&lt;0,-1E+099,P245-T245-AB245+Y245+(T245+U245)*Calculator!$B$9)</f>
        <v>366640.35</v>
      </c>
    </row>
    <row r="246" customFormat="false" ht="15" hidden="false" customHeight="false" outlineLevel="0" collapsed="false">
      <c r="A246" s="11" t="n">
        <f aca="false">233*$B$3</f>
        <v>116500</v>
      </c>
      <c r="B246" s="11" t="n">
        <f aca="false">0</f>
        <v>0</v>
      </c>
      <c r="C246" s="11" t="n">
        <f aca="false">A246-B246</f>
        <v>116500</v>
      </c>
      <c r="D246" s="11" t="n">
        <f aca="false">IF(Calculator!$B$6="Yes",MIN(B246,'Tax Tables'!$B$31*'Tax Tables'!$B$32),0)</f>
        <v>0</v>
      </c>
      <c r="E246" s="11" t="n">
        <f aca="false">D246*Calculator!$B$7</f>
        <v>0</v>
      </c>
      <c r="F246" s="11" t="n">
        <f aca="false">D246*Calculator!$B$8</f>
        <v>0</v>
      </c>
      <c r="G246" s="11" t="n">
        <f aca="false">IF(B246&gt;0,'Tax Tables'!$B$32*MIN(MAX(B246/'Tax Tables'!$B$32*'Tax Tables'!$B$33,'Tax Tables'!$B$34),'Tax Tables'!$B$35),0)</f>
        <v>0</v>
      </c>
      <c r="H246" s="11" t="n">
        <f aca="false">Calculator!$B$5-A246-F246-G246</f>
        <v>283500</v>
      </c>
      <c r="I246" s="11" t="n">
        <f aca="false">'Tax Tables'!$B$22*(MAX(H246,0)-IF(Calculator!$B$10="Yes",MIN(MAX(H246,0),'Tax Tables'!$B$27)*'Tax Tables'!$B$28+MIN(MAX(MAX(H246,0)-'Tax Tables'!$B$27,0),'Tax Tables'!$B$29)*'Tax Tables'!$B$30,MIN(MAX(H246,0),'Tax Tables'!$B$23)*'Tax Tables'!$B$24+MIN(MAX(MAX(H246,0)-'Tax Tables'!$B$23,0),'Tax Tables'!$B$25)*'Tax Tables'!$B$26))*1-MIN('Tax Tables'!$B$22*(MAX(H246,0)-IF(Calculator!$B$10="Yes",MIN(MAX(H246,0),'Tax Tables'!$B$27)*'Tax Tables'!$B$28+MIN(MAX(MAX(H246,0)-'Tax Tables'!$B$27,0),'Tax Tables'!$B$29)*'Tax Tables'!$B$30,MIN(MAX(H246,0),'Tax Tables'!$B$23)*'Tax Tables'!$B$24+MIN(MAX(MAX(H246,0)-'Tax Tables'!$B$23,0),'Tax Tables'!$B$25)*'Tax Tables'!$B$26))*Calculator!$B$11,Calculator!$B$12)</f>
        <v>30770</v>
      </c>
      <c r="J246" s="11" t="n">
        <f aca="false">MAX(H246,0)-I246</f>
        <v>252730</v>
      </c>
      <c r="K246" s="11" t="n">
        <f aca="false">MIN(IF(A246&gt;0,Calculator!$B$13,0)+E246+Calculator!$B$14,'Tax Tables'!$B$36)</f>
        <v>1000</v>
      </c>
      <c r="L246" s="11" t="n">
        <f aca="false">MAX(A246-K246,0)</f>
        <v>115500</v>
      </c>
      <c r="M246" s="11" t="n">
        <f aca="false">SUMPRODUCT((L246&gt;'Tax Tables'!$A$5:$A$17)*(L246-'Tax Tables'!$A$5:$A$17)*'Tax Tables'!$C$5:$C$17)</f>
        <v>7432.5</v>
      </c>
      <c r="N246" s="11" t="n">
        <f aca="false">IF(H246&lt;0,-1E+099,A246-E246-M246+J246+(E246+F246)*Calculator!$B$9)</f>
        <v>361797.5</v>
      </c>
      <c r="O246" s="2"/>
      <c r="P246" s="11" t="n">
        <f aca="false">233*$B$3</f>
        <v>116500</v>
      </c>
      <c r="Q246" s="11" t="n">
        <f aca="false">MIN(P246,'Tax Tables'!$B$31*'Tax Tables'!$B$32)</f>
        <v>96000</v>
      </c>
      <c r="R246" s="11" t="n">
        <f aca="false">P246-Q246</f>
        <v>20500</v>
      </c>
      <c r="S246" s="11" t="n">
        <f aca="false">IF(Calculator!$B$6="Yes",MIN(Q246,'Tax Tables'!$B$31*'Tax Tables'!$B$32),0)</f>
        <v>96000</v>
      </c>
      <c r="T246" s="11" t="n">
        <f aca="false">S246*Calculator!$B$7</f>
        <v>19200</v>
      </c>
      <c r="U246" s="11" t="n">
        <f aca="false">S246*Calculator!$B$8</f>
        <v>16320</v>
      </c>
      <c r="V246" s="11" t="n">
        <f aca="false">IF(Q246&gt;0,'Tax Tables'!$B$32*MIN(MAX(Q246/'Tax Tables'!$B$32*'Tax Tables'!$B$33,'Tax Tables'!$B$34),'Tax Tables'!$B$35),0)</f>
        <v>135</v>
      </c>
      <c r="W246" s="11" t="n">
        <f aca="false">Calculator!$B$5-P246-U246-V246</f>
        <v>267045</v>
      </c>
      <c r="X246" s="11" t="n">
        <f aca="false">'Tax Tables'!$B$22*(MAX(W246,0)-IF(Calculator!$B$10="Yes",MIN(MAX(W246,0),'Tax Tables'!$B$27)*'Tax Tables'!$B$28+MIN(MAX(MAX(W246,0)-'Tax Tables'!$B$27,0),'Tax Tables'!$B$29)*'Tax Tables'!$B$30,MIN(MAX(W246,0),'Tax Tables'!$B$23)*'Tax Tables'!$B$24+MIN(MAX(MAX(W246,0)-'Tax Tables'!$B$23,0),'Tax Tables'!$B$25)*'Tax Tables'!$B$26))*1-MIN('Tax Tables'!$B$22*(MAX(W246,0)-IF(Calculator!$B$10="Yes",MIN(MAX(W246,0),'Tax Tables'!$B$27)*'Tax Tables'!$B$28+MIN(MAX(MAX(W246,0)-'Tax Tables'!$B$27,0),'Tax Tables'!$B$29)*'Tax Tables'!$B$30,MIN(MAX(W246,0),'Tax Tables'!$B$23)*'Tax Tables'!$B$24+MIN(MAX(MAX(W246,0)-'Tax Tables'!$B$23,0),'Tax Tables'!$B$25)*'Tax Tables'!$B$26))*Calculator!$B$11,Calculator!$B$12)</f>
        <v>27972.65</v>
      </c>
      <c r="Y246" s="11" t="n">
        <f aca="false">MAX(W246,0)-X246</f>
        <v>239072.35</v>
      </c>
      <c r="Z246" s="11" t="n">
        <f aca="false">MIN(IF(P246&gt;0,Calculator!$B$13,0)+T246+Calculator!$B$14,'Tax Tables'!$B$36)</f>
        <v>20200</v>
      </c>
      <c r="AA246" s="11" t="n">
        <f aca="false">MAX(P246-Z246,0)</f>
        <v>96300</v>
      </c>
      <c r="AB246" s="11" t="n">
        <f aca="false">SUMPRODUCT((AA246&gt;'Tax Tables'!$A$5:$A$17)*(AA246-'Tax Tables'!$A$5:$A$17)*'Tax Tables'!$C$5:$C$17)</f>
        <v>5224.5</v>
      </c>
      <c r="AC246" s="11" t="n">
        <f aca="false">IF(W246&lt;0,-1E+099,P246-T246-AB246+Y246+(T246+U246)*Calculator!$B$9)</f>
        <v>366667.85</v>
      </c>
    </row>
    <row r="247" customFormat="false" ht="15" hidden="false" customHeight="false" outlineLevel="0" collapsed="false">
      <c r="A247" s="11" t="n">
        <f aca="false">234*$B$3</f>
        <v>117000</v>
      </c>
      <c r="B247" s="11" t="n">
        <f aca="false">0</f>
        <v>0</v>
      </c>
      <c r="C247" s="11" t="n">
        <f aca="false">A247-B247</f>
        <v>117000</v>
      </c>
      <c r="D247" s="11" t="n">
        <f aca="false">IF(Calculator!$B$6="Yes",MIN(B247,'Tax Tables'!$B$31*'Tax Tables'!$B$32),0)</f>
        <v>0</v>
      </c>
      <c r="E247" s="11" t="n">
        <f aca="false">D247*Calculator!$B$7</f>
        <v>0</v>
      </c>
      <c r="F247" s="11" t="n">
        <f aca="false">D247*Calculator!$B$8</f>
        <v>0</v>
      </c>
      <c r="G247" s="11" t="n">
        <f aca="false">IF(B247&gt;0,'Tax Tables'!$B$32*MIN(MAX(B247/'Tax Tables'!$B$32*'Tax Tables'!$B$33,'Tax Tables'!$B$34),'Tax Tables'!$B$35),0)</f>
        <v>0</v>
      </c>
      <c r="H247" s="11" t="n">
        <f aca="false">Calculator!$B$5-A247-F247-G247</f>
        <v>283000</v>
      </c>
      <c r="I247" s="11" t="n">
        <f aca="false">'Tax Tables'!$B$22*(MAX(H247,0)-IF(Calculator!$B$10="Yes",MIN(MAX(H247,0),'Tax Tables'!$B$27)*'Tax Tables'!$B$28+MIN(MAX(MAX(H247,0)-'Tax Tables'!$B$27,0),'Tax Tables'!$B$29)*'Tax Tables'!$B$30,MIN(MAX(H247,0),'Tax Tables'!$B$23)*'Tax Tables'!$B$24+MIN(MAX(MAX(H247,0)-'Tax Tables'!$B$23,0),'Tax Tables'!$B$25)*'Tax Tables'!$B$26))*1-MIN('Tax Tables'!$B$22*(MAX(H247,0)-IF(Calculator!$B$10="Yes",MIN(MAX(H247,0),'Tax Tables'!$B$27)*'Tax Tables'!$B$28+MIN(MAX(MAX(H247,0)-'Tax Tables'!$B$27,0),'Tax Tables'!$B$29)*'Tax Tables'!$B$30,MIN(MAX(H247,0),'Tax Tables'!$B$23)*'Tax Tables'!$B$24+MIN(MAX(MAX(H247,0)-'Tax Tables'!$B$23,0),'Tax Tables'!$B$25)*'Tax Tables'!$B$26))*Calculator!$B$11,Calculator!$B$12)</f>
        <v>30685</v>
      </c>
      <c r="J247" s="11" t="n">
        <f aca="false">MAX(H247,0)-I247</f>
        <v>252315</v>
      </c>
      <c r="K247" s="11" t="n">
        <f aca="false">MIN(IF(A247&gt;0,Calculator!$B$13,0)+E247+Calculator!$B$14,'Tax Tables'!$B$36)</f>
        <v>1000</v>
      </c>
      <c r="L247" s="11" t="n">
        <f aca="false">MAX(A247-K247,0)</f>
        <v>116000</v>
      </c>
      <c r="M247" s="11" t="n">
        <f aca="false">SUMPRODUCT((L247&gt;'Tax Tables'!$A$5:$A$17)*(L247-'Tax Tables'!$A$5:$A$17)*'Tax Tables'!$C$5:$C$17)</f>
        <v>7490</v>
      </c>
      <c r="N247" s="11" t="n">
        <f aca="false">IF(H247&lt;0,-1E+099,A247-E247-M247+J247+(E247+F247)*Calculator!$B$9)</f>
        <v>361825</v>
      </c>
      <c r="O247" s="2"/>
      <c r="P247" s="11" t="n">
        <f aca="false">234*$B$3</f>
        <v>117000</v>
      </c>
      <c r="Q247" s="11" t="n">
        <f aca="false">MIN(P247,'Tax Tables'!$B$31*'Tax Tables'!$B$32)</f>
        <v>96000</v>
      </c>
      <c r="R247" s="11" t="n">
        <f aca="false">P247-Q247</f>
        <v>21000</v>
      </c>
      <c r="S247" s="11" t="n">
        <f aca="false">IF(Calculator!$B$6="Yes",MIN(Q247,'Tax Tables'!$B$31*'Tax Tables'!$B$32),0)</f>
        <v>96000</v>
      </c>
      <c r="T247" s="11" t="n">
        <f aca="false">S247*Calculator!$B$7</f>
        <v>19200</v>
      </c>
      <c r="U247" s="11" t="n">
        <f aca="false">S247*Calculator!$B$8</f>
        <v>16320</v>
      </c>
      <c r="V247" s="11" t="n">
        <f aca="false">IF(Q247&gt;0,'Tax Tables'!$B$32*MIN(MAX(Q247/'Tax Tables'!$B$32*'Tax Tables'!$B$33,'Tax Tables'!$B$34),'Tax Tables'!$B$35),0)</f>
        <v>135</v>
      </c>
      <c r="W247" s="11" t="n">
        <f aca="false">Calculator!$B$5-P247-U247-V247</f>
        <v>266545</v>
      </c>
      <c r="X247" s="11" t="n">
        <f aca="false">'Tax Tables'!$B$22*(MAX(W247,0)-IF(Calculator!$B$10="Yes",MIN(MAX(W247,0),'Tax Tables'!$B$27)*'Tax Tables'!$B$28+MIN(MAX(MAX(W247,0)-'Tax Tables'!$B$27,0),'Tax Tables'!$B$29)*'Tax Tables'!$B$30,MIN(MAX(W247,0),'Tax Tables'!$B$23)*'Tax Tables'!$B$24+MIN(MAX(MAX(W247,0)-'Tax Tables'!$B$23,0),'Tax Tables'!$B$25)*'Tax Tables'!$B$26))*1-MIN('Tax Tables'!$B$22*(MAX(W247,0)-IF(Calculator!$B$10="Yes",MIN(MAX(W247,0),'Tax Tables'!$B$27)*'Tax Tables'!$B$28+MIN(MAX(MAX(W247,0)-'Tax Tables'!$B$27,0),'Tax Tables'!$B$29)*'Tax Tables'!$B$30,MIN(MAX(W247,0),'Tax Tables'!$B$23)*'Tax Tables'!$B$24+MIN(MAX(MAX(W247,0)-'Tax Tables'!$B$23,0),'Tax Tables'!$B$25)*'Tax Tables'!$B$26))*Calculator!$B$11,Calculator!$B$12)</f>
        <v>27887.65</v>
      </c>
      <c r="Y247" s="11" t="n">
        <f aca="false">MAX(W247,0)-X247</f>
        <v>238657.35</v>
      </c>
      <c r="Z247" s="11" t="n">
        <f aca="false">MIN(IF(P247&gt;0,Calculator!$B$13,0)+T247+Calculator!$B$14,'Tax Tables'!$B$36)</f>
        <v>20200</v>
      </c>
      <c r="AA247" s="11" t="n">
        <f aca="false">MAX(P247-Z247,0)</f>
        <v>96800</v>
      </c>
      <c r="AB247" s="11" t="n">
        <f aca="false">SUMPRODUCT((AA247&gt;'Tax Tables'!$A$5:$A$17)*(AA247-'Tax Tables'!$A$5:$A$17)*'Tax Tables'!$C$5:$C$17)</f>
        <v>5282</v>
      </c>
      <c r="AC247" s="11" t="n">
        <f aca="false">IF(W247&lt;0,-1E+099,P247-T247-AB247+Y247+(T247+U247)*Calculator!$B$9)</f>
        <v>366695.35</v>
      </c>
    </row>
    <row r="248" customFormat="false" ht="15" hidden="false" customHeight="false" outlineLevel="0" collapsed="false">
      <c r="A248" s="11" t="n">
        <f aca="false">235*$B$3</f>
        <v>117500</v>
      </c>
      <c r="B248" s="11" t="n">
        <f aca="false">0</f>
        <v>0</v>
      </c>
      <c r="C248" s="11" t="n">
        <f aca="false">A248-B248</f>
        <v>117500</v>
      </c>
      <c r="D248" s="11" t="n">
        <f aca="false">IF(Calculator!$B$6="Yes",MIN(B248,'Tax Tables'!$B$31*'Tax Tables'!$B$32),0)</f>
        <v>0</v>
      </c>
      <c r="E248" s="11" t="n">
        <f aca="false">D248*Calculator!$B$7</f>
        <v>0</v>
      </c>
      <c r="F248" s="11" t="n">
        <f aca="false">D248*Calculator!$B$8</f>
        <v>0</v>
      </c>
      <c r="G248" s="11" t="n">
        <f aca="false">IF(B248&gt;0,'Tax Tables'!$B$32*MIN(MAX(B248/'Tax Tables'!$B$32*'Tax Tables'!$B$33,'Tax Tables'!$B$34),'Tax Tables'!$B$35),0)</f>
        <v>0</v>
      </c>
      <c r="H248" s="11" t="n">
        <f aca="false">Calculator!$B$5-A248-F248-G248</f>
        <v>282500</v>
      </c>
      <c r="I248" s="11" t="n">
        <f aca="false">'Tax Tables'!$B$22*(MAX(H248,0)-IF(Calculator!$B$10="Yes",MIN(MAX(H248,0),'Tax Tables'!$B$27)*'Tax Tables'!$B$28+MIN(MAX(MAX(H248,0)-'Tax Tables'!$B$27,0),'Tax Tables'!$B$29)*'Tax Tables'!$B$30,MIN(MAX(H248,0),'Tax Tables'!$B$23)*'Tax Tables'!$B$24+MIN(MAX(MAX(H248,0)-'Tax Tables'!$B$23,0),'Tax Tables'!$B$25)*'Tax Tables'!$B$26))*1-MIN('Tax Tables'!$B$22*(MAX(H248,0)-IF(Calculator!$B$10="Yes",MIN(MAX(H248,0),'Tax Tables'!$B$27)*'Tax Tables'!$B$28+MIN(MAX(MAX(H248,0)-'Tax Tables'!$B$27,0),'Tax Tables'!$B$29)*'Tax Tables'!$B$30,MIN(MAX(H248,0),'Tax Tables'!$B$23)*'Tax Tables'!$B$24+MIN(MAX(MAX(H248,0)-'Tax Tables'!$B$23,0),'Tax Tables'!$B$25)*'Tax Tables'!$B$26))*Calculator!$B$11,Calculator!$B$12)</f>
        <v>30600</v>
      </c>
      <c r="J248" s="11" t="n">
        <f aca="false">MAX(H248,0)-I248</f>
        <v>251900</v>
      </c>
      <c r="K248" s="11" t="n">
        <f aca="false">MIN(IF(A248&gt;0,Calculator!$B$13,0)+E248+Calculator!$B$14,'Tax Tables'!$B$36)</f>
        <v>1000</v>
      </c>
      <c r="L248" s="11" t="n">
        <f aca="false">MAX(A248-K248,0)</f>
        <v>116500</v>
      </c>
      <c r="M248" s="11" t="n">
        <f aca="false">SUMPRODUCT((L248&gt;'Tax Tables'!$A$5:$A$17)*(L248-'Tax Tables'!$A$5:$A$17)*'Tax Tables'!$C$5:$C$17)</f>
        <v>7547.5</v>
      </c>
      <c r="N248" s="11" t="n">
        <f aca="false">IF(H248&lt;0,-1E+099,A248-E248-M248+J248+(E248+F248)*Calculator!$B$9)</f>
        <v>361852.5</v>
      </c>
      <c r="O248" s="2"/>
      <c r="P248" s="11" t="n">
        <f aca="false">235*$B$3</f>
        <v>117500</v>
      </c>
      <c r="Q248" s="11" t="n">
        <f aca="false">MIN(P248,'Tax Tables'!$B$31*'Tax Tables'!$B$32)</f>
        <v>96000</v>
      </c>
      <c r="R248" s="11" t="n">
        <f aca="false">P248-Q248</f>
        <v>21500</v>
      </c>
      <c r="S248" s="11" t="n">
        <f aca="false">IF(Calculator!$B$6="Yes",MIN(Q248,'Tax Tables'!$B$31*'Tax Tables'!$B$32),0)</f>
        <v>96000</v>
      </c>
      <c r="T248" s="11" t="n">
        <f aca="false">S248*Calculator!$B$7</f>
        <v>19200</v>
      </c>
      <c r="U248" s="11" t="n">
        <f aca="false">S248*Calculator!$B$8</f>
        <v>16320</v>
      </c>
      <c r="V248" s="11" t="n">
        <f aca="false">IF(Q248&gt;0,'Tax Tables'!$B$32*MIN(MAX(Q248/'Tax Tables'!$B$32*'Tax Tables'!$B$33,'Tax Tables'!$B$34),'Tax Tables'!$B$35),0)</f>
        <v>135</v>
      </c>
      <c r="W248" s="11" t="n">
        <f aca="false">Calculator!$B$5-P248-U248-V248</f>
        <v>266045</v>
      </c>
      <c r="X248" s="11" t="n">
        <f aca="false">'Tax Tables'!$B$22*(MAX(W248,0)-IF(Calculator!$B$10="Yes",MIN(MAX(W248,0),'Tax Tables'!$B$27)*'Tax Tables'!$B$28+MIN(MAX(MAX(W248,0)-'Tax Tables'!$B$27,0),'Tax Tables'!$B$29)*'Tax Tables'!$B$30,MIN(MAX(W248,0),'Tax Tables'!$B$23)*'Tax Tables'!$B$24+MIN(MAX(MAX(W248,0)-'Tax Tables'!$B$23,0),'Tax Tables'!$B$25)*'Tax Tables'!$B$26))*1-MIN('Tax Tables'!$B$22*(MAX(W248,0)-IF(Calculator!$B$10="Yes",MIN(MAX(W248,0),'Tax Tables'!$B$27)*'Tax Tables'!$B$28+MIN(MAX(MAX(W248,0)-'Tax Tables'!$B$27,0),'Tax Tables'!$B$29)*'Tax Tables'!$B$30,MIN(MAX(W248,0),'Tax Tables'!$B$23)*'Tax Tables'!$B$24+MIN(MAX(MAX(W248,0)-'Tax Tables'!$B$23,0),'Tax Tables'!$B$25)*'Tax Tables'!$B$26))*Calculator!$B$11,Calculator!$B$12)</f>
        <v>27802.65</v>
      </c>
      <c r="Y248" s="11" t="n">
        <f aca="false">MAX(W248,0)-X248</f>
        <v>238242.35</v>
      </c>
      <c r="Z248" s="11" t="n">
        <f aca="false">MIN(IF(P248&gt;0,Calculator!$B$13,0)+T248+Calculator!$B$14,'Tax Tables'!$B$36)</f>
        <v>20200</v>
      </c>
      <c r="AA248" s="11" t="n">
        <f aca="false">MAX(P248-Z248,0)</f>
        <v>97300</v>
      </c>
      <c r="AB248" s="11" t="n">
        <f aca="false">SUMPRODUCT((AA248&gt;'Tax Tables'!$A$5:$A$17)*(AA248-'Tax Tables'!$A$5:$A$17)*'Tax Tables'!$C$5:$C$17)</f>
        <v>5339.5</v>
      </c>
      <c r="AC248" s="11" t="n">
        <f aca="false">IF(W248&lt;0,-1E+099,P248-T248-AB248+Y248+(T248+U248)*Calculator!$B$9)</f>
        <v>366722.85</v>
      </c>
    </row>
    <row r="249" customFormat="false" ht="15" hidden="false" customHeight="false" outlineLevel="0" collapsed="false">
      <c r="A249" s="11" t="n">
        <f aca="false">236*$B$3</f>
        <v>118000</v>
      </c>
      <c r="B249" s="11" t="n">
        <f aca="false">0</f>
        <v>0</v>
      </c>
      <c r="C249" s="11" t="n">
        <f aca="false">A249-B249</f>
        <v>118000</v>
      </c>
      <c r="D249" s="11" t="n">
        <f aca="false">IF(Calculator!$B$6="Yes",MIN(B249,'Tax Tables'!$B$31*'Tax Tables'!$B$32),0)</f>
        <v>0</v>
      </c>
      <c r="E249" s="11" t="n">
        <f aca="false">D249*Calculator!$B$7</f>
        <v>0</v>
      </c>
      <c r="F249" s="11" t="n">
        <f aca="false">D249*Calculator!$B$8</f>
        <v>0</v>
      </c>
      <c r="G249" s="11" t="n">
        <f aca="false">IF(B249&gt;0,'Tax Tables'!$B$32*MIN(MAX(B249/'Tax Tables'!$B$32*'Tax Tables'!$B$33,'Tax Tables'!$B$34),'Tax Tables'!$B$35),0)</f>
        <v>0</v>
      </c>
      <c r="H249" s="11" t="n">
        <f aca="false">Calculator!$B$5-A249-F249-G249</f>
        <v>282000</v>
      </c>
      <c r="I249" s="11" t="n">
        <f aca="false">'Tax Tables'!$B$22*(MAX(H249,0)-IF(Calculator!$B$10="Yes",MIN(MAX(H249,0),'Tax Tables'!$B$27)*'Tax Tables'!$B$28+MIN(MAX(MAX(H249,0)-'Tax Tables'!$B$27,0),'Tax Tables'!$B$29)*'Tax Tables'!$B$30,MIN(MAX(H249,0),'Tax Tables'!$B$23)*'Tax Tables'!$B$24+MIN(MAX(MAX(H249,0)-'Tax Tables'!$B$23,0),'Tax Tables'!$B$25)*'Tax Tables'!$B$26))*1-MIN('Tax Tables'!$B$22*(MAX(H249,0)-IF(Calculator!$B$10="Yes",MIN(MAX(H249,0),'Tax Tables'!$B$27)*'Tax Tables'!$B$28+MIN(MAX(MAX(H249,0)-'Tax Tables'!$B$27,0),'Tax Tables'!$B$29)*'Tax Tables'!$B$30,MIN(MAX(H249,0),'Tax Tables'!$B$23)*'Tax Tables'!$B$24+MIN(MAX(MAX(H249,0)-'Tax Tables'!$B$23,0),'Tax Tables'!$B$25)*'Tax Tables'!$B$26))*Calculator!$B$11,Calculator!$B$12)</f>
        <v>30515</v>
      </c>
      <c r="J249" s="11" t="n">
        <f aca="false">MAX(H249,0)-I249</f>
        <v>251485</v>
      </c>
      <c r="K249" s="11" t="n">
        <f aca="false">MIN(IF(A249&gt;0,Calculator!$B$13,0)+E249+Calculator!$B$14,'Tax Tables'!$B$36)</f>
        <v>1000</v>
      </c>
      <c r="L249" s="11" t="n">
        <f aca="false">MAX(A249-K249,0)</f>
        <v>117000</v>
      </c>
      <c r="M249" s="11" t="n">
        <f aca="false">SUMPRODUCT((L249&gt;'Tax Tables'!$A$5:$A$17)*(L249-'Tax Tables'!$A$5:$A$17)*'Tax Tables'!$C$5:$C$17)</f>
        <v>7605</v>
      </c>
      <c r="N249" s="11" t="n">
        <f aca="false">IF(H249&lt;0,-1E+099,A249-E249-M249+J249+(E249+F249)*Calculator!$B$9)</f>
        <v>361880</v>
      </c>
      <c r="O249" s="2"/>
      <c r="P249" s="11" t="n">
        <f aca="false">236*$B$3</f>
        <v>118000</v>
      </c>
      <c r="Q249" s="11" t="n">
        <f aca="false">MIN(P249,'Tax Tables'!$B$31*'Tax Tables'!$B$32)</f>
        <v>96000</v>
      </c>
      <c r="R249" s="11" t="n">
        <f aca="false">P249-Q249</f>
        <v>22000</v>
      </c>
      <c r="S249" s="11" t="n">
        <f aca="false">IF(Calculator!$B$6="Yes",MIN(Q249,'Tax Tables'!$B$31*'Tax Tables'!$B$32),0)</f>
        <v>96000</v>
      </c>
      <c r="T249" s="11" t="n">
        <f aca="false">S249*Calculator!$B$7</f>
        <v>19200</v>
      </c>
      <c r="U249" s="11" t="n">
        <f aca="false">S249*Calculator!$B$8</f>
        <v>16320</v>
      </c>
      <c r="V249" s="11" t="n">
        <f aca="false">IF(Q249&gt;0,'Tax Tables'!$B$32*MIN(MAX(Q249/'Tax Tables'!$B$32*'Tax Tables'!$B$33,'Tax Tables'!$B$34),'Tax Tables'!$B$35),0)</f>
        <v>135</v>
      </c>
      <c r="W249" s="11" t="n">
        <f aca="false">Calculator!$B$5-P249-U249-V249</f>
        <v>265545</v>
      </c>
      <c r="X249" s="11" t="n">
        <f aca="false">'Tax Tables'!$B$22*(MAX(W249,0)-IF(Calculator!$B$10="Yes",MIN(MAX(W249,0),'Tax Tables'!$B$27)*'Tax Tables'!$B$28+MIN(MAX(MAX(W249,0)-'Tax Tables'!$B$27,0),'Tax Tables'!$B$29)*'Tax Tables'!$B$30,MIN(MAX(W249,0),'Tax Tables'!$B$23)*'Tax Tables'!$B$24+MIN(MAX(MAX(W249,0)-'Tax Tables'!$B$23,0),'Tax Tables'!$B$25)*'Tax Tables'!$B$26))*1-MIN('Tax Tables'!$B$22*(MAX(W249,0)-IF(Calculator!$B$10="Yes",MIN(MAX(W249,0),'Tax Tables'!$B$27)*'Tax Tables'!$B$28+MIN(MAX(MAX(W249,0)-'Tax Tables'!$B$27,0),'Tax Tables'!$B$29)*'Tax Tables'!$B$30,MIN(MAX(W249,0),'Tax Tables'!$B$23)*'Tax Tables'!$B$24+MIN(MAX(MAX(W249,0)-'Tax Tables'!$B$23,0),'Tax Tables'!$B$25)*'Tax Tables'!$B$26))*Calculator!$B$11,Calculator!$B$12)</f>
        <v>27717.65</v>
      </c>
      <c r="Y249" s="11" t="n">
        <f aca="false">MAX(W249,0)-X249</f>
        <v>237827.35</v>
      </c>
      <c r="Z249" s="11" t="n">
        <f aca="false">MIN(IF(P249&gt;0,Calculator!$B$13,0)+T249+Calculator!$B$14,'Tax Tables'!$B$36)</f>
        <v>20200</v>
      </c>
      <c r="AA249" s="11" t="n">
        <f aca="false">MAX(P249-Z249,0)</f>
        <v>97800</v>
      </c>
      <c r="AB249" s="11" t="n">
        <f aca="false">SUMPRODUCT((AA249&gt;'Tax Tables'!$A$5:$A$17)*(AA249-'Tax Tables'!$A$5:$A$17)*'Tax Tables'!$C$5:$C$17)</f>
        <v>5397</v>
      </c>
      <c r="AC249" s="11" t="n">
        <f aca="false">IF(W249&lt;0,-1E+099,P249-T249-AB249+Y249+(T249+U249)*Calculator!$B$9)</f>
        <v>366750.35</v>
      </c>
    </row>
    <row r="250" customFormat="false" ht="15" hidden="false" customHeight="false" outlineLevel="0" collapsed="false">
      <c r="A250" s="11" t="n">
        <f aca="false">237*$B$3</f>
        <v>118500</v>
      </c>
      <c r="B250" s="11" t="n">
        <f aca="false">0</f>
        <v>0</v>
      </c>
      <c r="C250" s="11" t="n">
        <f aca="false">A250-B250</f>
        <v>118500</v>
      </c>
      <c r="D250" s="11" t="n">
        <f aca="false">IF(Calculator!$B$6="Yes",MIN(B250,'Tax Tables'!$B$31*'Tax Tables'!$B$32),0)</f>
        <v>0</v>
      </c>
      <c r="E250" s="11" t="n">
        <f aca="false">D250*Calculator!$B$7</f>
        <v>0</v>
      </c>
      <c r="F250" s="11" t="n">
        <f aca="false">D250*Calculator!$B$8</f>
        <v>0</v>
      </c>
      <c r="G250" s="11" t="n">
        <f aca="false">IF(B250&gt;0,'Tax Tables'!$B$32*MIN(MAX(B250/'Tax Tables'!$B$32*'Tax Tables'!$B$33,'Tax Tables'!$B$34),'Tax Tables'!$B$35),0)</f>
        <v>0</v>
      </c>
      <c r="H250" s="11" t="n">
        <f aca="false">Calculator!$B$5-A250-F250-G250</f>
        <v>281500</v>
      </c>
      <c r="I250" s="11" t="n">
        <f aca="false">'Tax Tables'!$B$22*(MAX(H250,0)-IF(Calculator!$B$10="Yes",MIN(MAX(H250,0),'Tax Tables'!$B$27)*'Tax Tables'!$B$28+MIN(MAX(MAX(H250,0)-'Tax Tables'!$B$27,0),'Tax Tables'!$B$29)*'Tax Tables'!$B$30,MIN(MAX(H250,0),'Tax Tables'!$B$23)*'Tax Tables'!$B$24+MIN(MAX(MAX(H250,0)-'Tax Tables'!$B$23,0),'Tax Tables'!$B$25)*'Tax Tables'!$B$26))*1-MIN('Tax Tables'!$B$22*(MAX(H250,0)-IF(Calculator!$B$10="Yes",MIN(MAX(H250,0),'Tax Tables'!$B$27)*'Tax Tables'!$B$28+MIN(MAX(MAX(H250,0)-'Tax Tables'!$B$27,0),'Tax Tables'!$B$29)*'Tax Tables'!$B$30,MIN(MAX(H250,0),'Tax Tables'!$B$23)*'Tax Tables'!$B$24+MIN(MAX(MAX(H250,0)-'Tax Tables'!$B$23,0),'Tax Tables'!$B$25)*'Tax Tables'!$B$26))*Calculator!$B$11,Calculator!$B$12)</f>
        <v>30430</v>
      </c>
      <c r="J250" s="11" t="n">
        <f aca="false">MAX(H250,0)-I250</f>
        <v>251070</v>
      </c>
      <c r="K250" s="11" t="n">
        <f aca="false">MIN(IF(A250&gt;0,Calculator!$B$13,0)+E250+Calculator!$B$14,'Tax Tables'!$B$36)</f>
        <v>1000</v>
      </c>
      <c r="L250" s="11" t="n">
        <f aca="false">MAX(A250-K250,0)</f>
        <v>117500</v>
      </c>
      <c r="M250" s="11" t="n">
        <f aca="false">SUMPRODUCT((L250&gt;'Tax Tables'!$A$5:$A$17)*(L250-'Tax Tables'!$A$5:$A$17)*'Tax Tables'!$C$5:$C$17)</f>
        <v>7662.5</v>
      </c>
      <c r="N250" s="11" t="n">
        <f aca="false">IF(H250&lt;0,-1E+099,A250-E250-M250+J250+(E250+F250)*Calculator!$B$9)</f>
        <v>361907.5</v>
      </c>
      <c r="O250" s="2"/>
      <c r="P250" s="11" t="n">
        <f aca="false">237*$B$3</f>
        <v>118500</v>
      </c>
      <c r="Q250" s="11" t="n">
        <f aca="false">MIN(P250,'Tax Tables'!$B$31*'Tax Tables'!$B$32)</f>
        <v>96000</v>
      </c>
      <c r="R250" s="11" t="n">
        <f aca="false">P250-Q250</f>
        <v>22500</v>
      </c>
      <c r="S250" s="11" t="n">
        <f aca="false">IF(Calculator!$B$6="Yes",MIN(Q250,'Tax Tables'!$B$31*'Tax Tables'!$B$32),0)</f>
        <v>96000</v>
      </c>
      <c r="T250" s="11" t="n">
        <f aca="false">S250*Calculator!$B$7</f>
        <v>19200</v>
      </c>
      <c r="U250" s="11" t="n">
        <f aca="false">S250*Calculator!$B$8</f>
        <v>16320</v>
      </c>
      <c r="V250" s="11" t="n">
        <f aca="false">IF(Q250&gt;0,'Tax Tables'!$B$32*MIN(MAX(Q250/'Tax Tables'!$B$32*'Tax Tables'!$B$33,'Tax Tables'!$B$34),'Tax Tables'!$B$35),0)</f>
        <v>135</v>
      </c>
      <c r="W250" s="11" t="n">
        <f aca="false">Calculator!$B$5-P250-U250-V250</f>
        <v>265045</v>
      </c>
      <c r="X250" s="11" t="n">
        <f aca="false">'Tax Tables'!$B$22*(MAX(W250,0)-IF(Calculator!$B$10="Yes",MIN(MAX(W250,0),'Tax Tables'!$B$27)*'Tax Tables'!$B$28+MIN(MAX(MAX(W250,0)-'Tax Tables'!$B$27,0),'Tax Tables'!$B$29)*'Tax Tables'!$B$30,MIN(MAX(W250,0),'Tax Tables'!$B$23)*'Tax Tables'!$B$24+MIN(MAX(MAX(W250,0)-'Tax Tables'!$B$23,0),'Tax Tables'!$B$25)*'Tax Tables'!$B$26))*1-MIN('Tax Tables'!$B$22*(MAX(W250,0)-IF(Calculator!$B$10="Yes",MIN(MAX(W250,0),'Tax Tables'!$B$27)*'Tax Tables'!$B$28+MIN(MAX(MAX(W250,0)-'Tax Tables'!$B$27,0),'Tax Tables'!$B$29)*'Tax Tables'!$B$30,MIN(MAX(W250,0),'Tax Tables'!$B$23)*'Tax Tables'!$B$24+MIN(MAX(MAX(W250,0)-'Tax Tables'!$B$23,0),'Tax Tables'!$B$25)*'Tax Tables'!$B$26))*Calculator!$B$11,Calculator!$B$12)</f>
        <v>27632.65</v>
      </c>
      <c r="Y250" s="11" t="n">
        <f aca="false">MAX(W250,0)-X250</f>
        <v>237412.35</v>
      </c>
      <c r="Z250" s="11" t="n">
        <f aca="false">MIN(IF(P250&gt;0,Calculator!$B$13,0)+T250+Calculator!$B$14,'Tax Tables'!$B$36)</f>
        <v>20200</v>
      </c>
      <c r="AA250" s="11" t="n">
        <f aca="false">MAX(P250-Z250,0)</f>
        <v>98300</v>
      </c>
      <c r="AB250" s="11" t="n">
        <f aca="false">SUMPRODUCT((AA250&gt;'Tax Tables'!$A$5:$A$17)*(AA250-'Tax Tables'!$A$5:$A$17)*'Tax Tables'!$C$5:$C$17)</f>
        <v>5454.5</v>
      </c>
      <c r="AC250" s="11" t="n">
        <f aca="false">IF(W250&lt;0,-1E+099,P250-T250-AB250+Y250+(T250+U250)*Calculator!$B$9)</f>
        <v>366777.85</v>
      </c>
    </row>
    <row r="251" customFormat="false" ht="15" hidden="false" customHeight="false" outlineLevel="0" collapsed="false">
      <c r="A251" s="11" t="n">
        <f aca="false">238*$B$3</f>
        <v>119000</v>
      </c>
      <c r="B251" s="11" t="n">
        <f aca="false">0</f>
        <v>0</v>
      </c>
      <c r="C251" s="11" t="n">
        <f aca="false">A251-B251</f>
        <v>119000</v>
      </c>
      <c r="D251" s="11" t="n">
        <f aca="false">IF(Calculator!$B$6="Yes",MIN(B251,'Tax Tables'!$B$31*'Tax Tables'!$B$32),0)</f>
        <v>0</v>
      </c>
      <c r="E251" s="11" t="n">
        <f aca="false">D251*Calculator!$B$7</f>
        <v>0</v>
      </c>
      <c r="F251" s="11" t="n">
        <f aca="false">D251*Calculator!$B$8</f>
        <v>0</v>
      </c>
      <c r="G251" s="11" t="n">
        <f aca="false">IF(B251&gt;0,'Tax Tables'!$B$32*MIN(MAX(B251/'Tax Tables'!$B$32*'Tax Tables'!$B$33,'Tax Tables'!$B$34),'Tax Tables'!$B$35),0)</f>
        <v>0</v>
      </c>
      <c r="H251" s="11" t="n">
        <f aca="false">Calculator!$B$5-A251-F251-G251</f>
        <v>281000</v>
      </c>
      <c r="I251" s="11" t="n">
        <f aca="false">'Tax Tables'!$B$22*(MAX(H251,0)-IF(Calculator!$B$10="Yes",MIN(MAX(H251,0),'Tax Tables'!$B$27)*'Tax Tables'!$B$28+MIN(MAX(MAX(H251,0)-'Tax Tables'!$B$27,0),'Tax Tables'!$B$29)*'Tax Tables'!$B$30,MIN(MAX(H251,0),'Tax Tables'!$B$23)*'Tax Tables'!$B$24+MIN(MAX(MAX(H251,0)-'Tax Tables'!$B$23,0),'Tax Tables'!$B$25)*'Tax Tables'!$B$26))*1-MIN('Tax Tables'!$B$22*(MAX(H251,0)-IF(Calculator!$B$10="Yes",MIN(MAX(H251,0),'Tax Tables'!$B$27)*'Tax Tables'!$B$28+MIN(MAX(MAX(H251,0)-'Tax Tables'!$B$27,0),'Tax Tables'!$B$29)*'Tax Tables'!$B$30,MIN(MAX(H251,0),'Tax Tables'!$B$23)*'Tax Tables'!$B$24+MIN(MAX(MAX(H251,0)-'Tax Tables'!$B$23,0),'Tax Tables'!$B$25)*'Tax Tables'!$B$26))*Calculator!$B$11,Calculator!$B$12)</f>
        <v>30345</v>
      </c>
      <c r="J251" s="11" t="n">
        <f aca="false">MAX(H251,0)-I251</f>
        <v>250655</v>
      </c>
      <c r="K251" s="11" t="n">
        <f aca="false">MIN(IF(A251&gt;0,Calculator!$B$13,0)+E251+Calculator!$B$14,'Tax Tables'!$B$36)</f>
        <v>1000</v>
      </c>
      <c r="L251" s="11" t="n">
        <f aca="false">MAX(A251-K251,0)</f>
        <v>118000</v>
      </c>
      <c r="M251" s="11" t="n">
        <f aca="false">SUMPRODUCT((L251&gt;'Tax Tables'!$A$5:$A$17)*(L251-'Tax Tables'!$A$5:$A$17)*'Tax Tables'!$C$5:$C$17)</f>
        <v>7720</v>
      </c>
      <c r="N251" s="11" t="n">
        <f aca="false">IF(H251&lt;0,-1E+099,A251-E251-M251+J251+(E251+F251)*Calculator!$B$9)</f>
        <v>361935</v>
      </c>
      <c r="O251" s="2"/>
      <c r="P251" s="11" t="n">
        <f aca="false">238*$B$3</f>
        <v>119000</v>
      </c>
      <c r="Q251" s="11" t="n">
        <f aca="false">MIN(P251,'Tax Tables'!$B$31*'Tax Tables'!$B$32)</f>
        <v>96000</v>
      </c>
      <c r="R251" s="11" t="n">
        <f aca="false">P251-Q251</f>
        <v>23000</v>
      </c>
      <c r="S251" s="11" t="n">
        <f aca="false">IF(Calculator!$B$6="Yes",MIN(Q251,'Tax Tables'!$B$31*'Tax Tables'!$B$32),0)</f>
        <v>96000</v>
      </c>
      <c r="T251" s="11" t="n">
        <f aca="false">S251*Calculator!$B$7</f>
        <v>19200</v>
      </c>
      <c r="U251" s="11" t="n">
        <f aca="false">S251*Calculator!$B$8</f>
        <v>16320</v>
      </c>
      <c r="V251" s="11" t="n">
        <f aca="false">IF(Q251&gt;0,'Tax Tables'!$B$32*MIN(MAX(Q251/'Tax Tables'!$B$32*'Tax Tables'!$B$33,'Tax Tables'!$B$34),'Tax Tables'!$B$35),0)</f>
        <v>135</v>
      </c>
      <c r="W251" s="11" t="n">
        <f aca="false">Calculator!$B$5-P251-U251-V251</f>
        <v>264545</v>
      </c>
      <c r="X251" s="11" t="n">
        <f aca="false">'Tax Tables'!$B$22*(MAX(W251,0)-IF(Calculator!$B$10="Yes",MIN(MAX(W251,0),'Tax Tables'!$B$27)*'Tax Tables'!$B$28+MIN(MAX(MAX(W251,0)-'Tax Tables'!$B$27,0),'Tax Tables'!$B$29)*'Tax Tables'!$B$30,MIN(MAX(W251,0),'Tax Tables'!$B$23)*'Tax Tables'!$B$24+MIN(MAX(MAX(W251,0)-'Tax Tables'!$B$23,0),'Tax Tables'!$B$25)*'Tax Tables'!$B$26))*1-MIN('Tax Tables'!$B$22*(MAX(W251,0)-IF(Calculator!$B$10="Yes",MIN(MAX(W251,0),'Tax Tables'!$B$27)*'Tax Tables'!$B$28+MIN(MAX(MAX(W251,0)-'Tax Tables'!$B$27,0),'Tax Tables'!$B$29)*'Tax Tables'!$B$30,MIN(MAX(W251,0),'Tax Tables'!$B$23)*'Tax Tables'!$B$24+MIN(MAX(MAX(W251,0)-'Tax Tables'!$B$23,0),'Tax Tables'!$B$25)*'Tax Tables'!$B$26))*Calculator!$B$11,Calculator!$B$12)</f>
        <v>27547.65</v>
      </c>
      <c r="Y251" s="11" t="n">
        <f aca="false">MAX(W251,0)-X251</f>
        <v>236997.35</v>
      </c>
      <c r="Z251" s="11" t="n">
        <f aca="false">MIN(IF(P251&gt;0,Calculator!$B$13,0)+T251+Calculator!$B$14,'Tax Tables'!$B$36)</f>
        <v>20200</v>
      </c>
      <c r="AA251" s="11" t="n">
        <f aca="false">MAX(P251-Z251,0)</f>
        <v>98800</v>
      </c>
      <c r="AB251" s="11" t="n">
        <f aca="false">SUMPRODUCT((AA251&gt;'Tax Tables'!$A$5:$A$17)*(AA251-'Tax Tables'!$A$5:$A$17)*'Tax Tables'!$C$5:$C$17)</f>
        <v>5512</v>
      </c>
      <c r="AC251" s="11" t="n">
        <f aca="false">IF(W251&lt;0,-1E+099,P251-T251-AB251+Y251+(T251+U251)*Calculator!$B$9)</f>
        <v>366805.35</v>
      </c>
    </row>
    <row r="252" customFormat="false" ht="15" hidden="false" customHeight="false" outlineLevel="0" collapsed="false">
      <c r="A252" s="11" t="n">
        <f aca="false">239*$B$3</f>
        <v>119500</v>
      </c>
      <c r="B252" s="11" t="n">
        <f aca="false">0</f>
        <v>0</v>
      </c>
      <c r="C252" s="11" t="n">
        <f aca="false">A252-B252</f>
        <v>119500</v>
      </c>
      <c r="D252" s="11" t="n">
        <f aca="false">IF(Calculator!$B$6="Yes",MIN(B252,'Tax Tables'!$B$31*'Tax Tables'!$B$32),0)</f>
        <v>0</v>
      </c>
      <c r="E252" s="11" t="n">
        <f aca="false">D252*Calculator!$B$7</f>
        <v>0</v>
      </c>
      <c r="F252" s="11" t="n">
        <f aca="false">D252*Calculator!$B$8</f>
        <v>0</v>
      </c>
      <c r="G252" s="11" t="n">
        <f aca="false">IF(B252&gt;0,'Tax Tables'!$B$32*MIN(MAX(B252/'Tax Tables'!$B$32*'Tax Tables'!$B$33,'Tax Tables'!$B$34),'Tax Tables'!$B$35),0)</f>
        <v>0</v>
      </c>
      <c r="H252" s="11" t="n">
        <f aca="false">Calculator!$B$5-A252-F252-G252</f>
        <v>280500</v>
      </c>
      <c r="I252" s="11" t="n">
        <f aca="false">'Tax Tables'!$B$22*(MAX(H252,0)-IF(Calculator!$B$10="Yes",MIN(MAX(H252,0),'Tax Tables'!$B$27)*'Tax Tables'!$B$28+MIN(MAX(MAX(H252,0)-'Tax Tables'!$B$27,0),'Tax Tables'!$B$29)*'Tax Tables'!$B$30,MIN(MAX(H252,0),'Tax Tables'!$B$23)*'Tax Tables'!$B$24+MIN(MAX(MAX(H252,0)-'Tax Tables'!$B$23,0),'Tax Tables'!$B$25)*'Tax Tables'!$B$26))*1-MIN('Tax Tables'!$B$22*(MAX(H252,0)-IF(Calculator!$B$10="Yes",MIN(MAX(H252,0),'Tax Tables'!$B$27)*'Tax Tables'!$B$28+MIN(MAX(MAX(H252,0)-'Tax Tables'!$B$27,0),'Tax Tables'!$B$29)*'Tax Tables'!$B$30,MIN(MAX(H252,0),'Tax Tables'!$B$23)*'Tax Tables'!$B$24+MIN(MAX(MAX(H252,0)-'Tax Tables'!$B$23,0),'Tax Tables'!$B$25)*'Tax Tables'!$B$26))*Calculator!$B$11,Calculator!$B$12)</f>
        <v>30260</v>
      </c>
      <c r="J252" s="11" t="n">
        <f aca="false">MAX(H252,0)-I252</f>
        <v>250240</v>
      </c>
      <c r="K252" s="11" t="n">
        <f aca="false">MIN(IF(A252&gt;0,Calculator!$B$13,0)+E252+Calculator!$B$14,'Tax Tables'!$B$36)</f>
        <v>1000</v>
      </c>
      <c r="L252" s="11" t="n">
        <f aca="false">MAX(A252-K252,0)</f>
        <v>118500</v>
      </c>
      <c r="M252" s="11" t="n">
        <f aca="false">SUMPRODUCT((L252&gt;'Tax Tables'!$A$5:$A$17)*(L252-'Tax Tables'!$A$5:$A$17)*'Tax Tables'!$C$5:$C$17)</f>
        <v>7777.5</v>
      </c>
      <c r="N252" s="11" t="n">
        <f aca="false">IF(H252&lt;0,-1E+099,A252-E252-M252+J252+(E252+F252)*Calculator!$B$9)</f>
        <v>361962.5</v>
      </c>
      <c r="O252" s="2"/>
      <c r="P252" s="11" t="n">
        <f aca="false">239*$B$3</f>
        <v>119500</v>
      </c>
      <c r="Q252" s="11" t="n">
        <f aca="false">MIN(P252,'Tax Tables'!$B$31*'Tax Tables'!$B$32)</f>
        <v>96000</v>
      </c>
      <c r="R252" s="11" t="n">
        <f aca="false">P252-Q252</f>
        <v>23500</v>
      </c>
      <c r="S252" s="11" t="n">
        <f aca="false">IF(Calculator!$B$6="Yes",MIN(Q252,'Tax Tables'!$B$31*'Tax Tables'!$B$32),0)</f>
        <v>96000</v>
      </c>
      <c r="T252" s="11" t="n">
        <f aca="false">S252*Calculator!$B$7</f>
        <v>19200</v>
      </c>
      <c r="U252" s="11" t="n">
        <f aca="false">S252*Calculator!$B$8</f>
        <v>16320</v>
      </c>
      <c r="V252" s="11" t="n">
        <f aca="false">IF(Q252&gt;0,'Tax Tables'!$B$32*MIN(MAX(Q252/'Tax Tables'!$B$32*'Tax Tables'!$B$33,'Tax Tables'!$B$34),'Tax Tables'!$B$35),0)</f>
        <v>135</v>
      </c>
      <c r="W252" s="11" t="n">
        <f aca="false">Calculator!$B$5-P252-U252-V252</f>
        <v>264045</v>
      </c>
      <c r="X252" s="11" t="n">
        <f aca="false">'Tax Tables'!$B$22*(MAX(W252,0)-IF(Calculator!$B$10="Yes",MIN(MAX(W252,0),'Tax Tables'!$B$27)*'Tax Tables'!$B$28+MIN(MAX(MAX(W252,0)-'Tax Tables'!$B$27,0),'Tax Tables'!$B$29)*'Tax Tables'!$B$30,MIN(MAX(W252,0),'Tax Tables'!$B$23)*'Tax Tables'!$B$24+MIN(MAX(MAX(W252,0)-'Tax Tables'!$B$23,0),'Tax Tables'!$B$25)*'Tax Tables'!$B$26))*1-MIN('Tax Tables'!$B$22*(MAX(W252,0)-IF(Calculator!$B$10="Yes",MIN(MAX(W252,0),'Tax Tables'!$B$27)*'Tax Tables'!$B$28+MIN(MAX(MAX(W252,0)-'Tax Tables'!$B$27,0),'Tax Tables'!$B$29)*'Tax Tables'!$B$30,MIN(MAX(W252,0),'Tax Tables'!$B$23)*'Tax Tables'!$B$24+MIN(MAX(MAX(W252,0)-'Tax Tables'!$B$23,0),'Tax Tables'!$B$25)*'Tax Tables'!$B$26))*Calculator!$B$11,Calculator!$B$12)</f>
        <v>27462.65</v>
      </c>
      <c r="Y252" s="11" t="n">
        <f aca="false">MAX(W252,0)-X252</f>
        <v>236582.35</v>
      </c>
      <c r="Z252" s="11" t="n">
        <f aca="false">MIN(IF(P252&gt;0,Calculator!$B$13,0)+T252+Calculator!$B$14,'Tax Tables'!$B$36)</f>
        <v>20200</v>
      </c>
      <c r="AA252" s="11" t="n">
        <f aca="false">MAX(P252-Z252,0)</f>
        <v>99300</v>
      </c>
      <c r="AB252" s="11" t="n">
        <f aca="false">SUMPRODUCT((AA252&gt;'Tax Tables'!$A$5:$A$17)*(AA252-'Tax Tables'!$A$5:$A$17)*'Tax Tables'!$C$5:$C$17)</f>
        <v>5569.5</v>
      </c>
      <c r="AC252" s="11" t="n">
        <f aca="false">IF(W252&lt;0,-1E+099,P252-T252-AB252+Y252+(T252+U252)*Calculator!$B$9)</f>
        <v>366832.85</v>
      </c>
    </row>
    <row r="253" customFormat="false" ht="15" hidden="false" customHeight="false" outlineLevel="0" collapsed="false">
      <c r="A253" s="11" t="n">
        <f aca="false">240*$B$3</f>
        <v>120000</v>
      </c>
      <c r="B253" s="11" t="n">
        <f aca="false">0</f>
        <v>0</v>
      </c>
      <c r="C253" s="11" t="n">
        <f aca="false">A253-B253</f>
        <v>120000</v>
      </c>
      <c r="D253" s="11" t="n">
        <f aca="false">IF(Calculator!$B$6="Yes",MIN(B253,'Tax Tables'!$B$31*'Tax Tables'!$B$32),0)</f>
        <v>0</v>
      </c>
      <c r="E253" s="11" t="n">
        <f aca="false">D253*Calculator!$B$7</f>
        <v>0</v>
      </c>
      <c r="F253" s="11" t="n">
        <f aca="false">D253*Calculator!$B$8</f>
        <v>0</v>
      </c>
      <c r="G253" s="11" t="n">
        <f aca="false">IF(B253&gt;0,'Tax Tables'!$B$32*MIN(MAX(B253/'Tax Tables'!$B$32*'Tax Tables'!$B$33,'Tax Tables'!$B$34),'Tax Tables'!$B$35),0)</f>
        <v>0</v>
      </c>
      <c r="H253" s="11" t="n">
        <f aca="false">Calculator!$B$5-A253-F253-G253</f>
        <v>280000</v>
      </c>
      <c r="I253" s="11" t="n">
        <f aca="false">'Tax Tables'!$B$22*(MAX(H253,0)-IF(Calculator!$B$10="Yes",MIN(MAX(H253,0),'Tax Tables'!$B$27)*'Tax Tables'!$B$28+MIN(MAX(MAX(H253,0)-'Tax Tables'!$B$27,0),'Tax Tables'!$B$29)*'Tax Tables'!$B$30,MIN(MAX(H253,0),'Tax Tables'!$B$23)*'Tax Tables'!$B$24+MIN(MAX(MAX(H253,0)-'Tax Tables'!$B$23,0),'Tax Tables'!$B$25)*'Tax Tables'!$B$26))*1-MIN('Tax Tables'!$B$22*(MAX(H253,0)-IF(Calculator!$B$10="Yes",MIN(MAX(H253,0),'Tax Tables'!$B$27)*'Tax Tables'!$B$28+MIN(MAX(MAX(H253,0)-'Tax Tables'!$B$27,0),'Tax Tables'!$B$29)*'Tax Tables'!$B$30,MIN(MAX(H253,0),'Tax Tables'!$B$23)*'Tax Tables'!$B$24+MIN(MAX(MAX(H253,0)-'Tax Tables'!$B$23,0),'Tax Tables'!$B$25)*'Tax Tables'!$B$26))*Calculator!$B$11,Calculator!$B$12)</f>
        <v>30175</v>
      </c>
      <c r="J253" s="11" t="n">
        <f aca="false">MAX(H253,0)-I253</f>
        <v>249825</v>
      </c>
      <c r="K253" s="11" t="n">
        <f aca="false">MIN(IF(A253&gt;0,Calculator!$B$13,0)+E253+Calculator!$B$14,'Tax Tables'!$B$36)</f>
        <v>1000</v>
      </c>
      <c r="L253" s="11" t="n">
        <f aca="false">MAX(A253-K253,0)</f>
        <v>119000</v>
      </c>
      <c r="M253" s="11" t="n">
        <f aca="false">SUMPRODUCT((L253&gt;'Tax Tables'!$A$5:$A$17)*(L253-'Tax Tables'!$A$5:$A$17)*'Tax Tables'!$C$5:$C$17)</f>
        <v>7835</v>
      </c>
      <c r="N253" s="11" t="n">
        <f aca="false">IF(H253&lt;0,-1E+099,A253-E253-M253+J253+(E253+F253)*Calculator!$B$9)</f>
        <v>361990</v>
      </c>
      <c r="O253" s="2"/>
      <c r="P253" s="11" t="n">
        <f aca="false">240*$B$3</f>
        <v>120000</v>
      </c>
      <c r="Q253" s="11" t="n">
        <f aca="false">MIN(P253,'Tax Tables'!$B$31*'Tax Tables'!$B$32)</f>
        <v>96000</v>
      </c>
      <c r="R253" s="11" t="n">
        <f aca="false">P253-Q253</f>
        <v>24000</v>
      </c>
      <c r="S253" s="11" t="n">
        <f aca="false">IF(Calculator!$B$6="Yes",MIN(Q253,'Tax Tables'!$B$31*'Tax Tables'!$B$32),0)</f>
        <v>96000</v>
      </c>
      <c r="T253" s="11" t="n">
        <f aca="false">S253*Calculator!$B$7</f>
        <v>19200</v>
      </c>
      <c r="U253" s="11" t="n">
        <f aca="false">S253*Calculator!$B$8</f>
        <v>16320</v>
      </c>
      <c r="V253" s="11" t="n">
        <f aca="false">IF(Q253&gt;0,'Tax Tables'!$B$32*MIN(MAX(Q253/'Tax Tables'!$B$32*'Tax Tables'!$B$33,'Tax Tables'!$B$34),'Tax Tables'!$B$35),0)</f>
        <v>135</v>
      </c>
      <c r="W253" s="11" t="n">
        <f aca="false">Calculator!$B$5-P253-U253-V253</f>
        <v>263545</v>
      </c>
      <c r="X253" s="11" t="n">
        <f aca="false">'Tax Tables'!$B$22*(MAX(W253,0)-IF(Calculator!$B$10="Yes",MIN(MAX(W253,0),'Tax Tables'!$B$27)*'Tax Tables'!$B$28+MIN(MAX(MAX(W253,0)-'Tax Tables'!$B$27,0),'Tax Tables'!$B$29)*'Tax Tables'!$B$30,MIN(MAX(W253,0),'Tax Tables'!$B$23)*'Tax Tables'!$B$24+MIN(MAX(MAX(W253,0)-'Tax Tables'!$B$23,0),'Tax Tables'!$B$25)*'Tax Tables'!$B$26))*1-MIN('Tax Tables'!$B$22*(MAX(W253,0)-IF(Calculator!$B$10="Yes",MIN(MAX(W253,0),'Tax Tables'!$B$27)*'Tax Tables'!$B$28+MIN(MAX(MAX(W253,0)-'Tax Tables'!$B$27,0),'Tax Tables'!$B$29)*'Tax Tables'!$B$30,MIN(MAX(W253,0),'Tax Tables'!$B$23)*'Tax Tables'!$B$24+MIN(MAX(MAX(W253,0)-'Tax Tables'!$B$23,0),'Tax Tables'!$B$25)*'Tax Tables'!$B$26))*Calculator!$B$11,Calculator!$B$12)</f>
        <v>27377.65</v>
      </c>
      <c r="Y253" s="11" t="n">
        <f aca="false">MAX(W253,0)-X253</f>
        <v>236167.35</v>
      </c>
      <c r="Z253" s="11" t="n">
        <f aca="false">MIN(IF(P253&gt;0,Calculator!$B$13,0)+T253+Calculator!$B$14,'Tax Tables'!$B$36)</f>
        <v>20200</v>
      </c>
      <c r="AA253" s="11" t="n">
        <f aca="false">MAX(P253-Z253,0)</f>
        <v>99800</v>
      </c>
      <c r="AB253" s="11" t="n">
        <f aca="false">SUMPRODUCT((AA253&gt;'Tax Tables'!$A$5:$A$17)*(AA253-'Tax Tables'!$A$5:$A$17)*'Tax Tables'!$C$5:$C$17)</f>
        <v>5627</v>
      </c>
      <c r="AC253" s="11" t="n">
        <f aca="false">IF(W253&lt;0,-1E+099,P253-T253-AB253+Y253+(T253+U253)*Calculator!$B$9)</f>
        <v>366860.35</v>
      </c>
    </row>
    <row r="254" customFormat="false" ht="15" hidden="false" customHeight="false" outlineLevel="0" collapsed="false">
      <c r="A254" s="11" t="n">
        <f aca="false">241*$B$3</f>
        <v>120500</v>
      </c>
      <c r="B254" s="11" t="n">
        <f aca="false">0</f>
        <v>0</v>
      </c>
      <c r="C254" s="11" t="n">
        <f aca="false">A254-B254</f>
        <v>120500</v>
      </c>
      <c r="D254" s="11" t="n">
        <f aca="false">IF(Calculator!$B$6="Yes",MIN(B254,'Tax Tables'!$B$31*'Tax Tables'!$B$32),0)</f>
        <v>0</v>
      </c>
      <c r="E254" s="11" t="n">
        <f aca="false">D254*Calculator!$B$7</f>
        <v>0</v>
      </c>
      <c r="F254" s="11" t="n">
        <f aca="false">D254*Calculator!$B$8</f>
        <v>0</v>
      </c>
      <c r="G254" s="11" t="n">
        <f aca="false">IF(B254&gt;0,'Tax Tables'!$B$32*MIN(MAX(B254/'Tax Tables'!$B$32*'Tax Tables'!$B$33,'Tax Tables'!$B$34),'Tax Tables'!$B$35),0)</f>
        <v>0</v>
      </c>
      <c r="H254" s="11" t="n">
        <f aca="false">Calculator!$B$5-A254-F254-G254</f>
        <v>279500</v>
      </c>
      <c r="I254" s="11" t="n">
        <f aca="false">'Tax Tables'!$B$22*(MAX(H254,0)-IF(Calculator!$B$10="Yes",MIN(MAX(H254,0),'Tax Tables'!$B$27)*'Tax Tables'!$B$28+MIN(MAX(MAX(H254,0)-'Tax Tables'!$B$27,0),'Tax Tables'!$B$29)*'Tax Tables'!$B$30,MIN(MAX(H254,0),'Tax Tables'!$B$23)*'Tax Tables'!$B$24+MIN(MAX(MAX(H254,0)-'Tax Tables'!$B$23,0),'Tax Tables'!$B$25)*'Tax Tables'!$B$26))*1-MIN('Tax Tables'!$B$22*(MAX(H254,0)-IF(Calculator!$B$10="Yes",MIN(MAX(H254,0),'Tax Tables'!$B$27)*'Tax Tables'!$B$28+MIN(MAX(MAX(H254,0)-'Tax Tables'!$B$27,0),'Tax Tables'!$B$29)*'Tax Tables'!$B$30,MIN(MAX(H254,0),'Tax Tables'!$B$23)*'Tax Tables'!$B$24+MIN(MAX(MAX(H254,0)-'Tax Tables'!$B$23,0),'Tax Tables'!$B$25)*'Tax Tables'!$B$26))*Calculator!$B$11,Calculator!$B$12)</f>
        <v>30090</v>
      </c>
      <c r="J254" s="11" t="n">
        <f aca="false">MAX(H254,0)-I254</f>
        <v>249410</v>
      </c>
      <c r="K254" s="11" t="n">
        <f aca="false">MIN(IF(A254&gt;0,Calculator!$B$13,0)+E254+Calculator!$B$14,'Tax Tables'!$B$36)</f>
        <v>1000</v>
      </c>
      <c r="L254" s="11" t="n">
        <f aca="false">MAX(A254-K254,0)</f>
        <v>119500</v>
      </c>
      <c r="M254" s="11" t="n">
        <f aca="false">SUMPRODUCT((L254&gt;'Tax Tables'!$A$5:$A$17)*(L254-'Tax Tables'!$A$5:$A$17)*'Tax Tables'!$C$5:$C$17)</f>
        <v>7892.5</v>
      </c>
      <c r="N254" s="11" t="n">
        <f aca="false">IF(H254&lt;0,-1E+099,A254-E254-M254+J254+(E254+F254)*Calculator!$B$9)</f>
        <v>362017.5</v>
      </c>
      <c r="O254" s="2"/>
      <c r="P254" s="11" t="n">
        <f aca="false">241*$B$3</f>
        <v>120500</v>
      </c>
      <c r="Q254" s="11" t="n">
        <f aca="false">MIN(P254,'Tax Tables'!$B$31*'Tax Tables'!$B$32)</f>
        <v>96000</v>
      </c>
      <c r="R254" s="11" t="n">
        <f aca="false">P254-Q254</f>
        <v>24500</v>
      </c>
      <c r="S254" s="11" t="n">
        <f aca="false">IF(Calculator!$B$6="Yes",MIN(Q254,'Tax Tables'!$B$31*'Tax Tables'!$B$32),0)</f>
        <v>96000</v>
      </c>
      <c r="T254" s="11" t="n">
        <f aca="false">S254*Calculator!$B$7</f>
        <v>19200</v>
      </c>
      <c r="U254" s="11" t="n">
        <f aca="false">S254*Calculator!$B$8</f>
        <v>16320</v>
      </c>
      <c r="V254" s="11" t="n">
        <f aca="false">IF(Q254&gt;0,'Tax Tables'!$B$32*MIN(MAX(Q254/'Tax Tables'!$B$32*'Tax Tables'!$B$33,'Tax Tables'!$B$34),'Tax Tables'!$B$35),0)</f>
        <v>135</v>
      </c>
      <c r="W254" s="11" t="n">
        <f aca="false">Calculator!$B$5-P254-U254-V254</f>
        <v>263045</v>
      </c>
      <c r="X254" s="11" t="n">
        <f aca="false">'Tax Tables'!$B$22*(MAX(W254,0)-IF(Calculator!$B$10="Yes",MIN(MAX(W254,0),'Tax Tables'!$B$27)*'Tax Tables'!$B$28+MIN(MAX(MAX(W254,0)-'Tax Tables'!$B$27,0),'Tax Tables'!$B$29)*'Tax Tables'!$B$30,MIN(MAX(W254,0),'Tax Tables'!$B$23)*'Tax Tables'!$B$24+MIN(MAX(MAX(W254,0)-'Tax Tables'!$B$23,0),'Tax Tables'!$B$25)*'Tax Tables'!$B$26))*1-MIN('Tax Tables'!$B$22*(MAX(W254,0)-IF(Calculator!$B$10="Yes",MIN(MAX(W254,0),'Tax Tables'!$B$27)*'Tax Tables'!$B$28+MIN(MAX(MAX(W254,0)-'Tax Tables'!$B$27,0),'Tax Tables'!$B$29)*'Tax Tables'!$B$30,MIN(MAX(W254,0),'Tax Tables'!$B$23)*'Tax Tables'!$B$24+MIN(MAX(MAX(W254,0)-'Tax Tables'!$B$23,0),'Tax Tables'!$B$25)*'Tax Tables'!$B$26))*Calculator!$B$11,Calculator!$B$12)</f>
        <v>27292.65</v>
      </c>
      <c r="Y254" s="11" t="n">
        <f aca="false">MAX(W254,0)-X254</f>
        <v>235752.35</v>
      </c>
      <c r="Z254" s="11" t="n">
        <f aca="false">MIN(IF(P254&gt;0,Calculator!$B$13,0)+T254+Calculator!$B$14,'Tax Tables'!$B$36)</f>
        <v>20200</v>
      </c>
      <c r="AA254" s="11" t="n">
        <f aca="false">MAX(P254-Z254,0)</f>
        <v>100300</v>
      </c>
      <c r="AB254" s="11" t="n">
        <f aca="false">SUMPRODUCT((AA254&gt;'Tax Tables'!$A$5:$A$17)*(AA254-'Tax Tables'!$A$5:$A$17)*'Tax Tables'!$C$5:$C$17)</f>
        <v>5684.5</v>
      </c>
      <c r="AC254" s="11" t="n">
        <f aca="false">IF(W254&lt;0,-1E+099,P254-T254-AB254+Y254+(T254+U254)*Calculator!$B$9)</f>
        <v>366887.85</v>
      </c>
    </row>
    <row r="255" customFormat="false" ht="15" hidden="false" customHeight="false" outlineLevel="0" collapsed="false">
      <c r="A255" s="11" t="n">
        <f aca="false">242*$B$3</f>
        <v>121000</v>
      </c>
      <c r="B255" s="11" t="n">
        <f aca="false">0</f>
        <v>0</v>
      </c>
      <c r="C255" s="11" t="n">
        <f aca="false">A255-B255</f>
        <v>121000</v>
      </c>
      <c r="D255" s="11" t="n">
        <f aca="false">IF(Calculator!$B$6="Yes",MIN(B255,'Tax Tables'!$B$31*'Tax Tables'!$B$32),0)</f>
        <v>0</v>
      </c>
      <c r="E255" s="11" t="n">
        <f aca="false">D255*Calculator!$B$7</f>
        <v>0</v>
      </c>
      <c r="F255" s="11" t="n">
        <f aca="false">D255*Calculator!$B$8</f>
        <v>0</v>
      </c>
      <c r="G255" s="11" t="n">
        <f aca="false">IF(B255&gt;0,'Tax Tables'!$B$32*MIN(MAX(B255/'Tax Tables'!$B$32*'Tax Tables'!$B$33,'Tax Tables'!$B$34),'Tax Tables'!$B$35),0)</f>
        <v>0</v>
      </c>
      <c r="H255" s="11" t="n">
        <f aca="false">Calculator!$B$5-A255-F255-G255</f>
        <v>279000</v>
      </c>
      <c r="I255" s="11" t="n">
        <f aca="false">'Tax Tables'!$B$22*(MAX(H255,0)-IF(Calculator!$B$10="Yes",MIN(MAX(H255,0),'Tax Tables'!$B$27)*'Tax Tables'!$B$28+MIN(MAX(MAX(H255,0)-'Tax Tables'!$B$27,0),'Tax Tables'!$B$29)*'Tax Tables'!$B$30,MIN(MAX(H255,0),'Tax Tables'!$B$23)*'Tax Tables'!$B$24+MIN(MAX(MAX(H255,0)-'Tax Tables'!$B$23,0),'Tax Tables'!$B$25)*'Tax Tables'!$B$26))*1-MIN('Tax Tables'!$B$22*(MAX(H255,0)-IF(Calculator!$B$10="Yes",MIN(MAX(H255,0),'Tax Tables'!$B$27)*'Tax Tables'!$B$28+MIN(MAX(MAX(H255,0)-'Tax Tables'!$B$27,0),'Tax Tables'!$B$29)*'Tax Tables'!$B$30,MIN(MAX(H255,0),'Tax Tables'!$B$23)*'Tax Tables'!$B$24+MIN(MAX(MAX(H255,0)-'Tax Tables'!$B$23,0),'Tax Tables'!$B$25)*'Tax Tables'!$B$26))*Calculator!$B$11,Calculator!$B$12)</f>
        <v>30005</v>
      </c>
      <c r="J255" s="11" t="n">
        <f aca="false">MAX(H255,0)-I255</f>
        <v>248995</v>
      </c>
      <c r="K255" s="11" t="n">
        <f aca="false">MIN(IF(A255&gt;0,Calculator!$B$13,0)+E255+Calculator!$B$14,'Tax Tables'!$B$36)</f>
        <v>1000</v>
      </c>
      <c r="L255" s="11" t="n">
        <f aca="false">MAX(A255-K255,0)</f>
        <v>120000</v>
      </c>
      <c r="M255" s="11" t="n">
        <f aca="false">SUMPRODUCT((L255&gt;'Tax Tables'!$A$5:$A$17)*(L255-'Tax Tables'!$A$5:$A$17)*'Tax Tables'!$C$5:$C$17)</f>
        <v>7950</v>
      </c>
      <c r="N255" s="11" t="n">
        <f aca="false">IF(H255&lt;0,-1E+099,A255-E255-M255+J255+(E255+F255)*Calculator!$B$9)</f>
        <v>362045</v>
      </c>
      <c r="O255" s="2"/>
      <c r="P255" s="11" t="n">
        <f aca="false">242*$B$3</f>
        <v>121000</v>
      </c>
      <c r="Q255" s="11" t="n">
        <f aca="false">MIN(P255,'Tax Tables'!$B$31*'Tax Tables'!$B$32)</f>
        <v>96000</v>
      </c>
      <c r="R255" s="11" t="n">
        <f aca="false">P255-Q255</f>
        <v>25000</v>
      </c>
      <c r="S255" s="11" t="n">
        <f aca="false">IF(Calculator!$B$6="Yes",MIN(Q255,'Tax Tables'!$B$31*'Tax Tables'!$B$32),0)</f>
        <v>96000</v>
      </c>
      <c r="T255" s="11" t="n">
        <f aca="false">S255*Calculator!$B$7</f>
        <v>19200</v>
      </c>
      <c r="U255" s="11" t="n">
        <f aca="false">S255*Calculator!$B$8</f>
        <v>16320</v>
      </c>
      <c r="V255" s="11" t="n">
        <f aca="false">IF(Q255&gt;0,'Tax Tables'!$B$32*MIN(MAX(Q255/'Tax Tables'!$B$32*'Tax Tables'!$B$33,'Tax Tables'!$B$34),'Tax Tables'!$B$35),0)</f>
        <v>135</v>
      </c>
      <c r="W255" s="11" t="n">
        <f aca="false">Calculator!$B$5-P255-U255-V255</f>
        <v>262545</v>
      </c>
      <c r="X255" s="11" t="n">
        <f aca="false">'Tax Tables'!$B$22*(MAX(W255,0)-IF(Calculator!$B$10="Yes",MIN(MAX(W255,0),'Tax Tables'!$B$27)*'Tax Tables'!$B$28+MIN(MAX(MAX(W255,0)-'Tax Tables'!$B$27,0),'Tax Tables'!$B$29)*'Tax Tables'!$B$30,MIN(MAX(W255,0),'Tax Tables'!$B$23)*'Tax Tables'!$B$24+MIN(MAX(MAX(W255,0)-'Tax Tables'!$B$23,0),'Tax Tables'!$B$25)*'Tax Tables'!$B$26))*1-MIN('Tax Tables'!$B$22*(MAX(W255,0)-IF(Calculator!$B$10="Yes",MIN(MAX(W255,0),'Tax Tables'!$B$27)*'Tax Tables'!$B$28+MIN(MAX(MAX(W255,0)-'Tax Tables'!$B$27,0),'Tax Tables'!$B$29)*'Tax Tables'!$B$30,MIN(MAX(W255,0),'Tax Tables'!$B$23)*'Tax Tables'!$B$24+MIN(MAX(MAX(W255,0)-'Tax Tables'!$B$23,0),'Tax Tables'!$B$25)*'Tax Tables'!$B$26))*Calculator!$B$11,Calculator!$B$12)</f>
        <v>27207.65</v>
      </c>
      <c r="Y255" s="11" t="n">
        <f aca="false">MAX(W255,0)-X255</f>
        <v>235337.35</v>
      </c>
      <c r="Z255" s="11" t="n">
        <f aca="false">MIN(IF(P255&gt;0,Calculator!$B$13,0)+T255+Calculator!$B$14,'Tax Tables'!$B$36)</f>
        <v>20200</v>
      </c>
      <c r="AA255" s="11" t="n">
        <f aca="false">MAX(P255-Z255,0)</f>
        <v>100800</v>
      </c>
      <c r="AB255" s="11" t="n">
        <f aca="false">SUMPRODUCT((AA255&gt;'Tax Tables'!$A$5:$A$17)*(AA255-'Tax Tables'!$A$5:$A$17)*'Tax Tables'!$C$5:$C$17)</f>
        <v>5742</v>
      </c>
      <c r="AC255" s="11" t="n">
        <f aca="false">IF(W255&lt;0,-1E+099,P255-T255-AB255+Y255+(T255+U255)*Calculator!$B$9)</f>
        <v>366915.35</v>
      </c>
    </row>
    <row r="256" customFormat="false" ht="15" hidden="false" customHeight="false" outlineLevel="0" collapsed="false">
      <c r="A256" s="11" t="n">
        <f aca="false">243*$B$3</f>
        <v>121500</v>
      </c>
      <c r="B256" s="11" t="n">
        <f aca="false">0</f>
        <v>0</v>
      </c>
      <c r="C256" s="11" t="n">
        <f aca="false">A256-B256</f>
        <v>121500</v>
      </c>
      <c r="D256" s="11" t="n">
        <f aca="false">IF(Calculator!$B$6="Yes",MIN(B256,'Tax Tables'!$B$31*'Tax Tables'!$B$32),0)</f>
        <v>0</v>
      </c>
      <c r="E256" s="11" t="n">
        <f aca="false">D256*Calculator!$B$7</f>
        <v>0</v>
      </c>
      <c r="F256" s="11" t="n">
        <f aca="false">D256*Calculator!$B$8</f>
        <v>0</v>
      </c>
      <c r="G256" s="11" t="n">
        <f aca="false">IF(B256&gt;0,'Tax Tables'!$B$32*MIN(MAX(B256/'Tax Tables'!$B$32*'Tax Tables'!$B$33,'Tax Tables'!$B$34),'Tax Tables'!$B$35),0)</f>
        <v>0</v>
      </c>
      <c r="H256" s="11" t="n">
        <f aca="false">Calculator!$B$5-A256-F256-G256</f>
        <v>278500</v>
      </c>
      <c r="I256" s="11" t="n">
        <f aca="false">'Tax Tables'!$B$22*(MAX(H256,0)-IF(Calculator!$B$10="Yes",MIN(MAX(H256,0),'Tax Tables'!$B$27)*'Tax Tables'!$B$28+MIN(MAX(MAX(H256,0)-'Tax Tables'!$B$27,0),'Tax Tables'!$B$29)*'Tax Tables'!$B$30,MIN(MAX(H256,0),'Tax Tables'!$B$23)*'Tax Tables'!$B$24+MIN(MAX(MAX(H256,0)-'Tax Tables'!$B$23,0),'Tax Tables'!$B$25)*'Tax Tables'!$B$26))*1-MIN('Tax Tables'!$B$22*(MAX(H256,0)-IF(Calculator!$B$10="Yes",MIN(MAX(H256,0),'Tax Tables'!$B$27)*'Tax Tables'!$B$28+MIN(MAX(MAX(H256,0)-'Tax Tables'!$B$27,0),'Tax Tables'!$B$29)*'Tax Tables'!$B$30,MIN(MAX(H256,0),'Tax Tables'!$B$23)*'Tax Tables'!$B$24+MIN(MAX(MAX(H256,0)-'Tax Tables'!$B$23,0),'Tax Tables'!$B$25)*'Tax Tables'!$B$26))*Calculator!$B$11,Calculator!$B$12)</f>
        <v>29920</v>
      </c>
      <c r="J256" s="11" t="n">
        <f aca="false">MAX(H256,0)-I256</f>
        <v>248580</v>
      </c>
      <c r="K256" s="11" t="n">
        <f aca="false">MIN(IF(A256&gt;0,Calculator!$B$13,0)+E256+Calculator!$B$14,'Tax Tables'!$B$36)</f>
        <v>1000</v>
      </c>
      <c r="L256" s="11" t="n">
        <f aca="false">MAX(A256-K256,0)</f>
        <v>120500</v>
      </c>
      <c r="M256" s="11" t="n">
        <f aca="false">SUMPRODUCT((L256&gt;'Tax Tables'!$A$5:$A$17)*(L256-'Tax Tables'!$A$5:$A$17)*'Tax Tables'!$C$5:$C$17)</f>
        <v>8025</v>
      </c>
      <c r="N256" s="11" t="n">
        <f aca="false">IF(H256&lt;0,-1E+099,A256-E256-M256+J256+(E256+F256)*Calculator!$B$9)</f>
        <v>362055</v>
      </c>
      <c r="O256" s="2"/>
      <c r="P256" s="11" t="n">
        <f aca="false">243*$B$3</f>
        <v>121500</v>
      </c>
      <c r="Q256" s="11" t="n">
        <f aca="false">MIN(P256,'Tax Tables'!$B$31*'Tax Tables'!$B$32)</f>
        <v>96000</v>
      </c>
      <c r="R256" s="11" t="n">
        <f aca="false">P256-Q256</f>
        <v>25500</v>
      </c>
      <c r="S256" s="11" t="n">
        <f aca="false">IF(Calculator!$B$6="Yes",MIN(Q256,'Tax Tables'!$B$31*'Tax Tables'!$B$32),0)</f>
        <v>96000</v>
      </c>
      <c r="T256" s="11" t="n">
        <f aca="false">S256*Calculator!$B$7</f>
        <v>19200</v>
      </c>
      <c r="U256" s="11" t="n">
        <f aca="false">S256*Calculator!$B$8</f>
        <v>16320</v>
      </c>
      <c r="V256" s="11" t="n">
        <f aca="false">IF(Q256&gt;0,'Tax Tables'!$B$32*MIN(MAX(Q256/'Tax Tables'!$B$32*'Tax Tables'!$B$33,'Tax Tables'!$B$34),'Tax Tables'!$B$35),0)</f>
        <v>135</v>
      </c>
      <c r="W256" s="11" t="n">
        <f aca="false">Calculator!$B$5-P256-U256-V256</f>
        <v>262045</v>
      </c>
      <c r="X256" s="11" t="n">
        <f aca="false">'Tax Tables'!$B$22*(MAX(W256,0)-IF(Calculator!$B$10="Yes",MIN(MAX(W256,0),'Tax Tables'!$B$27)*'Tax Tables'!$B$28+MIN(MAX(MAX(W256,0)-'Tax Tables'!$B$27,0),'Tax Tables'!$B$29)*'Tax Tables'!$B$30,MIN(MAX(W256,0),'Tax Tables'!$B$23)*'Tax Tables'!$B$24+MIN(MAX(MAX(W256,0)-'Tax Tables'!$B$23,0),'Tax Tables'!$B$25)*'Tax Tables'!$B$26))*1-MIN('Tax Tables'!$B$22*(MAX(W256,0)-IF(Calculator!$B$10="Yes",MIN(MAX(W256,0),'Tax Tables'!$B$27)*'Tax Tables'!$B$28+MIN(MAX(MAX(W256,0)-'Tax Tables'!$B$27,0),'Tax Tables'!$B$29)*'Tax Tables'!$B$30,MIN(MAX(W256,0),'Tax Tables'!$B$23)*'Tax Tables'!$B$24+MIN(MAX(MAX(W256,0)-'Tax Tables'!$B$23,0),'Tax Tables'!$B$25)*'Tax Tables'!$B$26))*Calculator!$B$11,Calculator!$B$12)</f>
        <v>27122.65</v>
      </c>
      <c r="Y256" s="11" t="n">
        <f aca="false">MAX(W256,0)-X256</f>
        <v>234922.35</v>
      </c>
      <c r="Z256" s="11" t="n">
        <f aca="false">MIN(IF(P256&gt;0,Calculator!$B$13,0)+T256+Calculator!$B$14,'Tax Tables'!$B$36)</f>
        <v>20200</v>
      </c>
      <c r="AA256" s="11" t="n">
        <f aca="false">MAX(P256-Z256,0)</f>
        <v>101300</v>
      </c>
      <c r="AB256" s="11" t="n">
        <f aca="false">SUMPRODUCT((AA256&gt;'Tax Tables'!$A$5:$A$17)*(AA256-'Tax Tables'!$A$5:$A$17)*'Tax Tables'!$C$5:$C$17)</f>
        <v>5799.5</v>
      </c>
      <c r="AC256" s="11" t="n">
        <f aca="false">IF(W256&lt;0,-1E+099,P256-T256-AB256+Y256+(T256+U256)*Calculator!$B$9)</f>
        <v>366942.85</v>
      </c>
    </row>
    <row r="257" customFormat="false" ht="15" hidden="false" customHeight="false" outlineLevel="0" collapsed="false">
      <c r="A257" s="11" t="n">
        <f aca="false">244*$B$3</f>
        <v>122000</v>
      </c>
      <c r="B257" s="11" t="n">
        <f aca="false">0</f>
        <v>0</v>
      </c>
      <c r="C257" s="11" t="n">
        <f aca="false">A257-B257</f>
        <v>122000</v>
      </c>
      <c r="D257" s="11" t="n">
        <f aca="false">IF(Calculator!$B$6="Yes",MIN(B257,'Tax Tables'!$B$31*'Tax Tables'!$B$32),0)</f>
        <v>0</v>
      </c>
      <c r="E257" s="11" t="n">
        <f aca="false">D257*Calculator!$B$7</f>
        <v>0</v>
      </c>
      <c r="F257" s="11" t="n">
        <f aca="false">D257*Calculator!$B$8</f>
        <v>0</v>
      </c>
      <c r="G257" s="11" t="n">
        <f aca="false">IF(B257&gt;0,'Tax Tables'!$B$32*MIN(MAX(B257/'Tax Tables'!$B$32*'Tax Tables'!$B$33,'Tax Tables'!$B$34),'Tax Tables'!$B$35),0)</f>
        <v>0</v>
      </c>
      <c r="H257" s="11" t="n">
        <f aca="false">Calculator!$B$5-A257-F257-G257</f>
        <v>278000</v>
      </c>
      <c r="I257" s="11" t="n">
        <f aca="false">'Tax Tables'!$B$22*(MAX(H257,0)-IF(Calculator!$B$10="Yes",MIN(MAX(H257,0),'Tax Tables'!$B$27)*'Tax Tables'!$B$28+MIN(MAX(MAX(H257,0)-'Tax Tables'!$B$27,0),'Tax Tables'!$B$29)*'Tax Tables'!$B$30,MIN(MAX(H257,0),'Tax Tables'!$B$23)*'Tax Tables'!$B$24+MIN(MAX(MAX(H257,0)-'Tax Tables'!$B$23,0),'Tax Tables'!$B$25)*'Tax Tables'!$B$26))*1-MIN('Tax Tables'!$B$22*(MAX(H257,0)-IF(Calculator!$B$10="Yes",MIN(MAX(H257,0),'Tax Tables'!$B$27)*'Tax Tables'!$B$28+MIN(MAX(MAX(H257,0)-'Tax Tables'!$B$27,0),'Tax Tables'!$B$29)*'Tax Tables'!$B$30,MIN(MAX(H257,0),'Tax Tables'!$B$23)*'Tax Tables'!$B$24+MIN(MAX(MAX(H257,0)-'Tax Tables'!$B$23,0),'Tax Tables'!$B$25)*'Tax Tables'!$B$26))*Calculator!$B$11,Calculator!$B$12)</f>
        <v>29835</v>
      </c>
      <c r="J257" s="11" t="n">
        <f aca="false">MAX(H257,0)-I257</f>
        <v>248165</v>
      </c>
      <c r="K257" s="11" t="n">
        <f aca="false">MIN(IF(A257&gt;0,Calculator!$B$13,0)+E257+Calculator!$B$14,'Tax Tables'!$B$36)</f>
        <v>1000</v>
      </c>
      <c r="L257" s="11" t="n">
        <f aca="false">MAX(A257-K257,0)</f>
        <v>121000</v>
      </c>
      <c r="M257" s="11" t="n">
        <f aca="false">SUMPRODUCT((L257&gt;'Tax Tables'!$A$5:$A$17)*(L257-'Tax Tables'!$A$5:$A$17)*'Tax Tables'!$C$5:$C$17)</f>
        <v>8100</v>
      </c>
      <c r="N257" s="11" t="n">
        <f aca="false">IF(H257&lt;0,-1E+099,A257-E257-M257+J257+(E257+F257)*Calculator!$B$9)</f>
        <v>362065</v>
      </c>
      <c r="O257" s="2"/>
      <c r="P257" s="11" t="n">
        <f aca="false">244*$B$3</f>
        <v>122000</v>
      </c>
      <c r="Q257" s="11" t="n">
        <f aca="false">MIN(P257,'Tax Tables'!$B$31*'Tax Tables'!$B$32)</f>
        <v>96000</v>
      </c>
      <c r="R257" s="11" t="n">
        <f aca="false">P257-Q257</f>
        <v>26000</v>
      </c>
      <c r="S257" s="11" t="n">
        <f aca="false">IF(Calculator!$B$6="Yes",MIN(Q257,'Tax Tables'!$B$31*'Tax Tables'!$B$32),0)</f>
        <v>96000</v>
      </c>
      <c r="T257" s="11" t="n">
        <f aca="false">S257*Calculator!$B$7</f>
        <v>19200</v>
      </c>
      <c r="U257" s="11" t="n">
        <f aca="false">S257*Calculator!$B$8</f>
        <v>16320</v>
      </c>
      <c r="V257" s="11" t="n">
        <f aca="false">IF(Q257&gt;0,'Tax Tables'!$B$32*MIN(MAX(Q257/'Tax Tables'!$B$32*'Tax Tables'!$B$33,'Tax Tables'!$B$34),'Tax Tables'!$B$35),0)</f>
        <v>135</v>
      </c>
      <c r="W257" s="11" t="n">
        <f aca="false">Calculator!$B$5-P257-U257-V257</f>
        <v>261545</v>
      </c>
      <c r="X257" s="11" t="n">
        <f aca="false">'Tax Tables'!$B$22*(MAX(W257,0)-IF(Calculator!$B$10="Yes",MIN(MAX(W257,0),'Tax Tables'!$B$27)*'Tax Tables'!$B$28+MIN(MAX(MAX(W257,0)-'Tax Tables'!$B$27,0),'Tax Tables'!$B$29)*'Tax Tables'!$B$30,MIN(MAX(W257,0),'Tax Tables'!$B$23)*'Tax Tables'!$B$24+MIN(MAX(MAX(W257,0)-'Tax Tables'!$B$23,0),'Tax Tables'!$B$25)*'Tax Tables'!$B$26))*1-MIN('Tax Tables'!$B$22*(MAX(W257,0)-IF(Calculator!$B$10="Yes",MIN(MAX(W257,0),'Tax Tables'!$B$27)*'Tax Tables'!$B$28+MIN(MAX(MAX(W257,0)-'Tax Tables'!$B$27,0),'Tax Tables'!$B$29)*'Tax Tables'!$B$30,MIN(MAX(W257,0),'Tax Tables'!$B$23)*'Tax Tables'!$B$24+MIN(MAX(MAX(W257,0)-'Tax Tables'!$B$23,0),'Tax Tables'!$B$25)*'Tax Tables'!$B$26))*Calculator!$B$11,Calculator!$B$12)</f>
        <v>27037.65</v>
      </c>
      <c r="Y257" s="11" t="n">
        <f aca="false">MAX(W257,0)-X257</f>
        <v>234507.35</v>
      </c>
      <c r="Z257" s="11" t="n">
        <f aca="false">MIN(IF(P257&gt;0,Calculator!$B$13,0)+T257+Calculator!$B$14,'Tax Tables'!$B$36)</f>
        <v>20200</v>
      </c>
      <c r="AA257" s="11" t="n">
        <f aca="false">MAX(P257-Z257,0)</f>
        <v>101800</v>
      </c>
      <c r="AB257" s="11" t="n">
        <f aca="false">SUMPRODUCT((AA257&gt;'Tax Tables'!$A$5:$A$17)*(AA257-'Tax Tables'!$A$5:$A$17)*'Tax Tables'!$C$5:$C$17)</f>
        <v>5857</v>
      </c>
      <c r="AC257" s="11" t="n">
        <f aca="false">IF(W257&lt;0,-1E+099,P257-T257-AB257+Y257+(T257+U257)*Calculator!$B$9)</f>
        <v>366970.35</v>
      </c>
    </row>
    <row r="258" customFormat="false" ht="15" hidden="false" customHeight="false" outlineLevel="0" collapsed="false">
      <c r="A258" s="11" t="n">
        <f aca="false">245*$B$3</f>
        <v>122500</v>
      </c>
      <c r="B258" s="11" t="n">
        <f aca="false">0</f>
        <v>0</v>
      </c>
      <c r="C258" s="11" t="n">
        <f aca="false">A258-B258</f>
        <v>122500</v>
      </c>
      <c r="D258" s="11" t="n">
        <f aca="false">IF(Calculator!$B$6="Yes",MIN(B258,'Tax Tables'!$B$31*'Tax Tables'!$B$32),0)</f>
        <v>0</v>
      </c>
      <c r="E258" s="11" t="n">
        <f aca="false">D258*Calculator!$B$7</f>
        <v>0</v>
      </c>
      <c r="F258" s="11" t="n">
        <f aca="false">D258*Calculator!$B$8</f>
        <v>0</v>
      </c>
      <c r="G258" s="11" t="n">
        <f aca="false">IF(B258&gt;0,'Tax Tables'!$B$32*MIN(MAX(B258/'Tax Tables'!$B$32*'Tax Tables'!$B$33,'Tax Tables'!$B$34),'Tax Tables'!$B$35),0)</f>
        <v>0</v>
      </c>
      <c r="H258" s="11" t="n">
        <f aca="false">Calculator!$B$5-A258-F258-G258</f>
        <v>277500</v>
      </c>
      <c r="I258" s="11" t="n">
        <f aca="false">'Tax Tables'!$B$22*(MAX(H258,0)-IF(Calculator!$B$10="Yes",MIN(MAX(H258,0),'Tax Tables'!$B$27)*'Tax Tables'!$B$28+MIN(MAX(MAX(H258,0)-'Tax Tables'!$B$27,0),'Tax Tables'!$B$29)*'Tax Tables'!$B$30,MIN(MAX(H258,0),'Tax Tables'!$B$23)*'Tax Tables'!$B$24+MIN(MAX(MAX(H258,0)-'Tax Tables'!$B$23,0),'Tax Tables'!$B$25)*'Tax Tables'!$B$26))*1-MIN('Tax Tables'!$B$22*(MAX(H258,0)-IF(Calculator!$B$10="Yes",MIN(MAX(H258,0),'Tax Tables'!$B$27)*'Tax Tables'!$B$28+MIN(MAX(MAX(H258,0)-'Tax Tables'!$B$27,0),'Tax Tables'!$B$29)*'Tax Tables'!$B$30,MIN(MAX(H258,0),'Tax Tables'!$B$23)*'Tax Tables'!$B$24+MIN(MAX(MAX(H258,0)-'Tax Tables'!$B$23,0),'Tax Tables'!$B$25)*'Tax Tables'!$B$26))*Calculator!$B$11,Calculator!$B$12)</f>
        <v>29750</v>
      </c>
      <c r="J258" s="11" t="n">
        <f aca="false">MAX(H258,0)-I258</f>
        <v>247750</v>
      </c>
      <c r="K258" s="11" t="n">
        <f aca="false">MIN(IF(A258&gt;0,Calculator!$B$13,0)+E258+Calculator!$B$14,'Tax Tables'!$B$36)</f>
        <v>1000</v>
      </c>
      <c r="L258" s="11" t="n">
        <f aca="false">MAX(A258-K258,0)</f>
        <v>121500</v>
      </c>
      <c r="M258" s="11" t="n">
        <f aca="false">SUMPRODUCT((L258&gt;'Tax Tables'!$A$5:$A$17)*(L258-'Tax Tables'!$A$5:$A$17)*'Tax Tables'!$C$5:$C$17)</f>
        <v>8175</v>
      </c>
      <c r="N258" s="11" t="n">
        <f aca="false">IF(H258&lt;0,-1E+099,A258-E258-M258+J258+(E258+F258)*Calculator!$B$9)</f>
        <v>362075</v>
      </c>
      <c r="O258" s="2"/>
      <c r="P258" s="11" t="n">
        <f aca="false">245*$B$3</f>
        <v>122500</v>
      </c>
      <c r="Q258" s="11" t="n">
        <f aca="false">MIN(P258,'Tax Tables'!$B$31*'Tax Tables'!$B$32)</f>
        <v>96000</v>
      </c>
      <c r="R258" s="11" t="n">
        <f aca="false">P258-Q258</f>
        <v>26500</v>
      </c>
      <c r="S258" s="11" t="n">
        <f aca="false">IF(Calculator!$B$6="Yes",MIN(Q258,'Tax Tables'!$B$31*'Tax Tables'!$B$32),0)</f>
        <v>96000</v>
      </c>
      <c r="T258" s="11" t="n">
        <f aca="false">S258*Calculator!$B$7</f>
        <v>19200</v>
      </c>
      <c r="U258" s="11" t="n">
        <f aca="false">S258*Calculator!$B$8</f>
        <v>16320</v>
      </c>
      <c r="V258" s="11" t="n">
        <f aca="false">IF(Q258&gt;0,'Tax Tables'!$B$32*MIN(MAX(Q258/'Tax Tables'!$B$32*'Tax Tables'!$B$33,'Tax Tables'!$B$34),'Tax Tables'!$B$35),0)</f>
        <v>135</v>
      </c>
      <c r="W258" s="11" t="n">
        <f aca="false">Calculator!$B$5-P258-U258-V258</f>
        <v>261045</v>
      </c>
      <c r="X258" s="11" t="n">
        <f aca="false">'Tax Tables'!$B$22*(MAX(W258,0)-IF(Calculator!$B$10="Yes",MIN(MAX(W258,0),'Tax Tables'!$B$27)*'Tax Tables'!$B$28+MIN(MAX(MAX(W258,0)-'Tax Tables'!$B$27,0),'Tax Tables'!$B$29)*'Tax Tables'!$B$30,MIN(MAX(W258,0),'Tax Tables'!$B$23)*'Tax Tables'!$B$24+MIN(MAX(MAX(W258,0)-'Tax Tables'!$B$23,0),'Tax Tables'!$B$25)*'Tax Tables'!$B$26))*1-MIN('Tax Tables'!$B$22*(MAX(W258,0)-IF(Calculator!$B$10="Yes",MIN(MAX(W258,0),'Tax Tables'!$B$27)*'Tax Tables'!$B$28+MIN(MAX(MAX(W258,0)-'Tax Tables'!$B$27,0),'Tax Tables'!$B$29)*'Tax Tables'!$B$30,MIN(MAX(W258,0),'Tax Tables'!$B$23)*'Tax Tables'!$B$24+MIN(MAX(MAX(W258,0)-'Tax Tables'!$B$23,0),'Tax Tables'!$B$25)*'Tax Tables'!$B$26))*Calculator!$B$11,Calculator!$B$12)</f>
        <v>26952.65</v>
      </c>
      <c r="Y258" s="11" t="n">
        <f aca="false">MAX(W258,0)-X258</f>
        <v>234092.35</v>
      </c>
      <c r="Z258" s="11" t="n">
        <f aca="false">MIN(IF(P258&gt;0,Calculator!$B$13,0)+T258+Calculator!$B$14,'Tax Tables'!$B$36)</f>
        <v>20200</v>
      </c>
      <c r="AA258" s="11" t="n">
        <f aca="false">MAX(P258-Z258,0)</f>
        <v>102300</v>
      </c>
      <c r="AB258" s="11" t="n">
        <f aca="false">SUMPRODUCT((AA258&gt;'Tax Tables'!$A$5:$A$17)*(AA258-'Tax Tables'!$A$5:$A$17)*'Tax Tables'!$C$5:$C$17)</f>
        <v>5914.5</v>
      </c>
      <c r="AC258" s="11" t="n">
        <f aca="false">IF(W258&lt;0,-1E+099,P258-T258-AB258+Y258+(T258+U258)*Calculator!$B$9)</f>
        <v>366997.85</v>
      </c>
    </row>
    <row r="259" customFormat="false" ht="15" hidden="false" customHeight="false" outlineLevel="0" collapsed="false">
      <c r="A259" s="11" t="n">
        <f aca="false">246*$B$3</f>
        <v>123000</v>
      </c>
      <c r="B259" s="11" t="n">
        <f aca="false">0</f>
        <v>0</v>
      </c>
      <c r="C259" s="11" t="n">
        <f aca="false">A259-B259</f>
        <v>123000</v>
      </c>
      <c r="D259" s="11" t="n">
        <f aca="false">IF(Calculator!$B$6="Yes",MIN(B259,'Tax Tables'!$B$31*'Tax Tables'!$B$32),0)</f>
        <v>0</v>
      </c>
      <c r="E259" s="11" t="n">
        <f aca="false">D259*Calculator!$B$7</f>
        <v>0</v>
      </c>
      <c r="F259" s="11" t="n">
        <f aca="false">D259*Calculator!$B$8</f>
        <v>0</v>
      </c>
      <c r="G259" s="11" t="n">
        <f aca="false">IF(B259&gt;0,'Tax Tables'!$B$32*MIN(MAX(B259/'Tax Tables'!$B$32*'Tax Tables'!$B$33,'Tax Tables'!$B$34),'Tax Tables'!$B$35),0)</f>
        <v>0</v>
      </c>
      <c r="H259" s="11" t="n">
        <f aca="false">Calculator!$B$5-A259-F259-G259</f>
        <v>277000</v>
      </c>
      <c r="I259" s="11" t="n">
        <f aca="false">'Tax Tables'!$B$22*(MAX(H259,0)-IF(Calculator!$B$10="Yes",MIN(MAX(H259,0),'Tax Tables'!$B$27)*'Tax Tables'!$B$28+MIN(MAX(MAX(H259,0)-'Tax Tables'!$B$27,0),'Tax Tables'!$B$29)*'Tax Tables'!$B$30,MIN(MAX(H259,0),'Tax Tables'!$B$23)*'Tax Tables'!$B$24+MIN(MAX(MAX(H259,0)-'Tax Tables'!$B$23,0),'Tax Tables'!$B$25)*'Tax Tables'!$B$26))*1-MIN('Tax Tables'!$B$22*(MAX(H259,0)-IF(Calculator!$B$10="Yes",MIN(MAX(H259,0),'Tax Tables'!$B$27)*'Tax Tables'!$B$28+MIN(MAX(MAX(H259,0)-'Tax Tables'!$B$27,0),'Tax Tables'!$B$29)*'Tax Tables'!$B$30,MIN(MAX(H259,0),'Tax Tables'!$B$23)*'Tax Tables'!$B$24+MIN(MAX(MAX(H259,0)-'Tax Tables'!$B$23,0),'Tax Tables'!$B$25)*'Tax Tables'!$B$26))*Calculator!$B$11,Calculator!$B$12)</f>
        <v>29665</v>
      </c>
      <c r="J259" s="11" t="n">
        <f aca="false">MAX(H259,0)-I259</f>
        <v>247335</v>
      </c>
      <c r="K259" s="11" t="n">
        <f aca="false">MIN(IF(A259&gt;0,Calculator!$B$13,0)+E259+Calculator!$B$14,'Tax Tables'!$B$36)</f>
        <v>1000</v>
      </c>
      <c r="L259" s="11" t="n">
        <f aca="false">MAX(A259-K259,0)</f>
        <v>122000</v>
      </c>
      <c r="M259" s="11" t="n">
        <f aca="false">SUMPRODUCT((L259&gt;'Tax Tables'!$A$5:$A$17)*(L259-'Tax Tables'!$A$5:$A$17)*'Tax Tables'!$C$5:$C$17)</f>
        <v>8250</v>
      </c>
      <c r="N259" s="11" t="n">
        <f aca="false">IF(H259&lt;0,-1E+099,A259-E259-M259+J259+(E259+F259)*Calculator!$B$9)</f>
        <v>362085</v>
      </c>
      <c r="O259" s="2"/>
      <c r="P259" s="11" t="n">
        <f aca="false">246*$B$3</f>
        <v>123000</v>
      </c>
      <c r="Q259" s="11" t="n">
        <f aca="false">MIN(P259,'Tax Tables'!$B$31*'Tax Tables'!$B$32)</f>
        <v>96000</v>
      </c>
      <c r="R259" s="11" t="n">
        <f aca="false">P259-Q259</f>
        <v>27000</v>
      </c>
      <c r="S259" s="11" t="n">
        <f aca="false">IF(Calculator!$B$6="Yes",MIN(Q259,'Tax Tables'!$B$31*'Tax Tables'!$B$32),0)</f>
        <v>96000</v>
      </c>
      <c r="T259" s="11" t="n">
        <f aca="false">S259*Calculator!$B$7</f>
        <v>19200</v>
      </c>
      <c r="U259" s="11" t="n">
        <f aca="false">S259*Calculator!$B$8</f>
        <v>16320</v>
      </c>
      <c r="V259" s="11" t="n">
        <f aca="false">IF(Q259&gt;0,'Tax Tables'!$B$32*MIN(MAX(Q259/'Tax Tables'!$B$32*'Tax Tables'!$B$33,'Tax Tables'!$B$34),'Tax Tables'!$B$35),0)</f>
        <v>135</v>
      </c>
      <c r="W259" s="11" t="n">
        <f aca="false">Calculator!$B$5-P259-U259-V259</f>
        <v>260545</v>
      </c>
      <c r="X259" s="11" t="n">
        <f aca="false">'Tax Tables'!$B$22*(MAX(W259,0)-IF(Calculator!$B$10="Yes",MIN(MAX(W259,0),'Tax Tables'!$B$27)*'Tax Tables'!$B$28+MIN(MAX(MAX(W259,0)-'Tax Tables'!$B$27,0),'Tax Tables'!$B$29)*'Tax Tables'!$B$30,MIN(MAX(W259,0),'Tax Tables'!$B$23)*'Tax Tables'!$B$24+MIN(MAX(MAX(W259,0)-'Tax Tables'!$B$23,0),'Tax Tables'!$B$25)*'Tax Tables'!$B$26))*1-MIN('Tax Tables'!$B$22*(MAX(W259,0)-IF(Calculator!$B$10="Yes",MIN(MAX(W259,0),'Tax Tables'!$B$27)*'Tax Tables'!$B$28+MIN(MAX(MAX(W259,0)-'Tax Tables'!$B$27,0),'Tax Tables'!$B$29)*'Tax Tables'!$B$30,MIN(MAX(W259,0),'Tax Tables'!$B$23)*'Tax Tables'!$B$24+MIN(MAX(MAX(W259,0)-'Tax Tables'!$B$23,0),'Tax Tables'!$B$25)*'Tax Tables'!$B$26))*Calculator!$B$11,Calculator!$B$12)</f>
        <v>26867.65</v>
      </c>
      <c r="Y259" s="11" t="n">
        <f aca="false">MAX(W259,0)-X259</f>
        <v>233677.35</v>
      </c>
      <c r="Z259" s="11" t="n">
        <f aca="false">MIN(IF(P259&gt;0,Calculator!$B$13,0)+T259+Calculator!$B$14,'Tax Tables'!$B$36)</f>
        <v>20200</v>
      </c>
      <c r="AA259" s="11" t="n">
        <f aca="false">MAX(P259-Z259,0)</f>
        <v>102800</v>
      </c>
      <c r="AB259" s="11" t="n">
        <f aca="false">SUMPRODUCT((AA259&gt;'Tax Tables'!$A$5:$A$17)*(AA259-'Tax Tables'!$A$5:$A$17)*'Tax Tables'!$C$5:$C$17)</f>
        <v>5972</v>
      </c>
      <c r="AC259" s="11" t="n">
        <f aca="false">IF(W259&lt;0,-1E+099,P259-T259-AB259+Y259+(T259+U259)*Calculator!$B$9)</f>
        <v>367025.35</v>
      </c>
    </row>
    <row r="260" customFormat="false" ht="15" hidden="false" customHeight="false" outlineLevel="0" collapsed="false">
      <c r="A260" s="11" t="n">
        <f aca="false">247*$B$3</f>
        <v>123500</v>
      </c>
      <c r="B260" s="11" t="n">
        <f aca="false">0</f>
        <v>0</v>
      </c>
      <c r="C260" s="11" t="n">
        <f aca="false">A260-B260</f>
        <v>123500</v>
      </c>
      <c r="D260" s="11" t="n">
        <f aca="false">IF(Calculator!$B$6="Yes",MIN(B260,'Tax Tables'!$B$31*'Tax Tables'!$B$32),0)</f>
        <v>0</v>
      </c>
      <c r="E260" s="11" t="n">
        <f aca="false">D260*Calculator!$B$7</f>
        <v>0</v>
      </c>
      <c r="F260" s="11" t="n">
        <f aca="false">D260*Calculator!$B$8</f>
        <v>0</v>
      </c>
      <c r="G260" s="11" t="n">
        <f aca="false">IF(B260&gt;0,'Tax Tables'!$B$32*MIN(MAX(B260/'Tax Tables'!$B$32*'Tax Tables'!$B$33,'Tax Tables'!$B$34),'Tax Tables'!$B$35),0)</f>
        <v>0</v>
      </c>
      <c r="H260" s="11" t="n">
        <f aca="false">Calculator!$B$5-A260-F260-G260</f>
        <v>276500</v>
      </c>
      <c r="I260" s="11" t="n">
        <f aca="false">'Tax Tables'!$B$22*(MAX(H260,0)-IF(Calculator!$B$10="Yes",MIN(MAX(H260,0),'Tax Tables'!$B$27)*'Tax Tables'!$B$28+MIN(MAX(MAX(H260,0)-'Tax Tables'!$B$27,0),'Tax Tables'!$B$29)*'Tax Tables'!$B$30,MIN(MAX(H260,0),'Tax Tables'!$B$23)*'Tax Tables'!$B$24+MIN(MAX(MAX(H260,0)-'Tax Tables'!$B$23,0),'Tax Tables'!$B$25)*'Tax Tables'!$B$26))*1-MIN('Tax Tables'!$B$22*(MAX(H260,0)-IF(Calculator!$B$10="Yes",MIN(MAX(H260,0),'Tax Tables'!$B$27)*'Tax Tables'!$B$28+MIN(MAX(MAX(H260,0)-'Tax Tables'!$B$27,0),'Tax Tables'!$B$29)*'Tax Tables'!$B$30,MIN(MAX(H260,0),'Tax Tables'!$B$23)*'Tax Tables'!$B$24+MIN(MAX(MAX(H260,0)-'Tax Tables'!$B$23,0),'Tax Tables'!$B$25)*'Tax Tables'!$B$26))*Calculator!$B$11,Calculator!$B$12)</f>
        <v>29580</v>
      </c>
      <c r="J260" s="11" t="n">
        <f aca="false">MAX(H260,0)-I260</f>
        <v>246920</v>
      </c>
      <c r="K260" s="11" t="n">
        <f aca="false">MIN(IF(A260&gt;0,Calculator!$B$13,0)+E260+Calculator!$B$14,'Tax Tables'!$B$36)</f>
        <v>1000</v>
      </c>
      <c r="L260" s="11" t="n">
        <f aca="false">MAX(A260-K260,0)</f>
        <v>122500</v>
      </c>
      <c r="M260" s="11" t="n">
        <f aca="false">SUMPRODUCT((L260&gt;'Tax Tables'!$A$5:$A$17)*(L260-'Tax Tables'!$A$5:$A$17)*'Tax Tables'!$C$5:$C$17)</f>
        <v>8325</v>
      </c>
      <c r="N260" s="11" t="n">
        <f aca="false">IF(H260&lt;0,-1E+099,A260-E260-M260+J260+(E260+F260)*Calculator!$B$9)</f>
        <v>362095</v>
      </c>
      <c r="O260" s="2"/>
      <c r="P260" s="11" t="n">
        <f aca="false">247*$B$3</f>
        <v>123500</v>
      </c>
      <c r="Q260" s="11" t="n">
        <f aca="false">MIN(P260,'Tax Tables'!$B$31*'Tax Tables'!$B$32)</f>
        <v>96000</v>
      </c>
      <c r="R260" s="11" t="n">
        <f aca="false">P260-Q260</f>
        <v>27500</v>
      </c>
      <c r="S260" s="11" t="n">
        <f aca="false">IF(Calculator!$B$6="Yes",MIN(Q260,'Tax Tables'!$B$31*'Tax Tables'!$B$32),0)</f>
        <v>96000</v>
      </c>
      <c r="T260" s="11" t="n">
        <f aca="false">S260*Calculator!$B$7</f>
        <v>19200</v>
      </c>
      <c r="U260" s="11" t="n">
        <f aca="false">S260*Calculator!$B$8</f>
        <v>16320</v>
      </c>
      <c r="V260" s="11" t="n">
        <f aca="false">IF(Q260&gt;0,'Tax Tables'!$B$32*MIN(MAX(Q260/'Tax Tables'!$B$32*'Tax Tables'!$B$33,'Tax Tables'!$B$34),'Tax Tables'!$B$35),0)</f>
        <v>135</v>
      </c>
      <c r="W260" s="11" t="n">
        <f aca="false">Calculator!$B$5-P260-U260-V260</f>
        <v>260045</v>
      </c>
      <c r="X260" s="11" t="n">
        <f aca="false">'Tax Tables'!$B$22*(MAX(W260,0)-IF(Calculator!$B$10="Yes",MIN(MAX(W260,0),'Tax Tables'!$B$27)*'Tax Tables'!$B$28+MIN(MAX(MAX(W260,0)-'Tax Tables'!$B$27,0),'Tax Tables'!$B$29)*'Tax Tables'!$B$30,MIN(MAX(W260,0),'Tax Tables'!$B$23)*'Tax Tables'!$B$24+MIN(MAX(MAX(W260,0)-'Tax Tables'!$B$23,0),'Tax Tables'!$B$25)*'Tax Tables'!$B$26))*1-MIN('Tax Tables'!$B$22*(MAX(W260,0)-IF(Calculator!$B$10="Yes",MIN(MAX(W260,0),'Tax Tables'!$B$27)*'Tax Tables'!$B$28+MIN(MAX(MAX(W260,0)-'Tax Tables'!$B$27,0),'Tax Tables'!$B$29)*'Tax Tables'!$B$30,MIN(MAX(W260,0),'Tax Tables'!$B$23)*'Tax Tables'!$B$24+MIN(MAX(MAX(W260,0)-'Tax Tables'!$B$23,0),'Tax Tables'!$B$25)*'Tax Tables'!$B$26))*Calculator!$B$11,Calculator!$B$12)</f>
        <v>26782.65</v>
      </c>
      <c r="Y260" s="11" t="n">
        <f aca="false">MAX(W260,0)-X260</f>
        <v>233262.35</v>
      </c>
      <c r="Z260" s="11" t="n">
        <f aca="false">MIN(IF(P260&gt;0,Calculator!$B$13,0)+T260+Calculator!$B$14,'Tax Tables'!$B$36)</f>
        <v>20200</v>
      </c>
      <c r="AA260" s="11" t="n">
        <f aca="false">MAX(P260-Z260,0)</f>
        <v>103300</v>
      </c>
      <c r="AB260" s="11" t="n">
        <f aca="false">SUMPRODUCT((AA260&gt;'Tax Tables'!$A$5:$A$17)*(AA260-'Tax Tables'!$A$5:$A$17)*'Tax Tables'!$C$5:$C$17)</f>
        <v>6029.5</v>
      </c>
      <c r="AC260" s="11" t="n">
        <f aca="false">IF(W260&lt;0,-1E+099,P260-T260-AB260+Y260+(T260+U260)*Calculator!$B$9)</f>
        <v>367052.85</v>
      </c>
    </row>
    <row r="261" customFormat="false" ht="15" hidden="false" customHeight="false" outlineLevel="0" collapsed="false">
      <c r="A261" s="11" t="n">
        <f aca="false">248*$B$3</f>
        <v>124000</v>
      </c>
      <c r="B261" s="11" t="n">
        <f aca="false">0</f>
        <v>0</v>
      </c>
      <c r="C261" s="11" t="n">
        <f aca="false">A261-B261</f>
        <v>124000</v>
      </c>
      <c r="D261" s="11" t="n">
        <f aca="false">IF(Calculator!$B$6="Yes",MIN(B261,'Tax Tables'!$B$31*'Tax Tables'!$B$32),0)</f>
        <v>0</v>
      </c>
      <c r="E261" s="11" t="n">
        <f aca="false">D261*Calculator!$B$7</f>
        <v>0</v>
      </c>
      <c r="F261" s="11" t="n">
        <f aca="false">D261*Calculator!$B$8</f>
        <v>0</v>
      </c>
      <c r="G261" s="11" t="n">
        <f aca="false">IF(B261&gt;0,'Tax Tables'!$B$32*MIN(MAX(B261/'Tax Tables'!$B$32*'Tax Tables'!$B$33,'Tax Tables'!$B$34),'Tax Tables'!$B$35),0)</f>
        <v>0</v>
      </c>
      <c r="H261" s="11" t="n">
        <f aca="false">Calculator!$B$5-A261-F261-G261</f>
        <v>276000</v>
      </c>
      <c r="I261" s="11" t="n">
        <f aca="false">'Tax Tables'!$B$22*(MAX(H261,0)-IF(Calculator!$B$10="Yes",MIN(MAX(H261,0),'Tax Tables'!$B$27)*'Tax Tables'!$B$28+MIN(MAX(MAX(H261,0)-'Tax Tables'!$B$27,0),'Tax Tables'!$B$29)*'Tax Tables'!$B$30,MIN(MAX(H261,0),'Tax Tables'!$B$23)*'Tax Tables'!$B$24+MIN(MAX(MAX(H261,0)-'Tax Tables'!$B$23,0),'Tax Tables'!$B$25)*'Tax Tables'!$B$26))*1-MIN('Tax Tables'!$B$22*(MAX(H261,0)-IF(Calculator!$B$10="Yes",MIN(MAX(H261,0),'Tax Tables'!$B$27)*'Tax Tables'!$B$28+MIN(MAX(MAX(H261,0)-'Tax Tables'!$B$27,0),'Tax Tables'!$B$29)*'Tax Tables'!$B$30,MIN(MAX(H261,0),'Tax Tables'!$B$23)*'Tax Tables'!$B$24+MIN(MAX(MAX(H261,0)-'Tax Tables'!$B$23,0),'Tax Tables'!$B$25)*'Tax Tables'!$B$26))*Calculator!$B$11,Calculator!$B$12)</f>
        <v>29495</v>
      </c>
      <c r="J261" s="11" t="n">
        <f aca="false">MAX(H261,0)-I261</f>
        <v>246505</v>
      </c>
      <c r="K261" s="11" t="n">
        <f aca="false">MIN(IF(A261&gt;0,Calculator!$B$13,0)+E261+Calculator!$B$14,'Tax Tables'!$B$36)</f>
        <v>1000</v>
      </c>
      <c r="L261" s="11" t="n">
        <f aca="false">MAX(A261-K261,0)</f>
        <v>123000</v>
      </c>
      <c r="M261" s="11" t="n">
        <f aca="false">SUMPRODUCT((L261&gt;'Tax Tables'!$A$5:$A$17)*(L261-'Tax Tables'!$A$5:$A$17)*'Tax Tables'!$C$5:$C$17)</f>
        <v>8400</v>
      </c>
      <c r="N261" s="11" t="n">
        <f aca="false">IF(H261&lt;0,-1E+099,A261-E261-M261+J261+(E261+F261)*Calculator!$B$9)</f>
        <v>362105</v>
      </c>
      <c r="O261" s="2"/>
      <c r="P261" s="11" t="n">
        <f aca="false">248*$B$3</f>
        <v>124000</v>
      </c>
      <c r="Q261" s="11" t="n">
        <f aca="false">MIN(P261,'Tax Tables'!$B$31*'Tax Tables'!$B$32)</f>
        <v>96000</v>
      </c>
      <c r="R261" s="11" t="n">
        <f aca="false">P261-Q261</f>
        <v>28000</v>
      </c>
      <c r="S261" s="11" t="n">
        <f aca="false">IF(Calculator!$B$6="Yes",MIN(Q261,'Tax Tables'!$B$31*'Tax Tables'!$B$32),0)</f>
        <v>96000</v>
      </c>
      <c r="T261" s="11" t="n">
        <f aca="false">S261*Calculator!$B$7</f>
        <v>19200</v>
      </c>
      <c r="U261" s="11" t="n">
        <f aca="false">S261*Calculator!$B$8</f>
        <v>16320</v>
      </c>
      <c r="V261" s="11" t="n">
        <f aca="false">IF(Q261&gt;0,'Tax Tables'!$B$32*MIN(MAX(Q261/'Tax Tables'!$B$32*'Tax Tables'!$B$33,'Tax Tables'!$B$34),'Tax Tables'!$B$35),0)</f>
        <v>135</v>
      </c>
      <c r="W261" s="11" t="n">
        <f aca="false">Calculator!$B$5-P261-U261-V261</f>
        <v>259545</v>
      </c>
      <c r="X261" s="11" t="n">
        <f aca="false">'Tax Tables'!$B$22*(MAX(W261,0)-IF(Calculator!$B$10="Yes",MIN(MAX(W261,0),'Tax Tables'!$B$27)*'Tax Tables'!$B$28+MIN(MAX(MAX(W261,0)-'Tax Tables'!$B$27,0),'Tax Tables'!$B$29)*'Tax Tables'!$B$30,MIN(MAX(W261,0),'Tax Tables'!$B$23)*'Tax Tables'!$B$24+MIN(MAX(MAX(W261,0)-'Tax Tables'!$B$23,0),'Tax Tables'!$B$25)*'Tax Tables'!$B$26))*1-MIN('Tax Tables'!$B$22*(MAX(W261,0)-IF(Calculator!$B$10="Yes",MIN(MAX(W261,0),'Tax Tables'!$B$27)*'Tax Tables'!$B$28+MIN(MAX(MAX(W261,0)-'Tax Tables'!$B$27,0),'Tax Tables'!$B$29)*'Tax Tables'!$B$30,MIN(MAX(W261,0),'Tax Tables'!$B$23)*'Tax Tables'!$B$24+MIN(MAX(MAX(W261,0)-'Tax Tables'!$B$23,0),'Tax Tables'!$B$25)*'Tax Tables'!$B$26))*Calculator!$B$11,Calculator!$B$12)</f>
        <v>26697.65</v>
      </c>
      <c r="Y261" s="11" t="n">
        <f aca="false">MAX(W261,0)-X261</f>
        <v>232847.35</v>
      </c>
      <c r="Z261" s="11" t="n">
        <f aca="false">MIN(IF(P261&gt;0,Calculator!$B$13,0)+T261+Calculator!$B$14,'Tax Tables'!$B$36)</f>
        <v>20200</v>
      </c>
      <c r="AA261" s="11" t="n">
        <f aca="false">MAX(P261-Z261,0)</f>
        <v>103800</v>
      </c>
      <c r="AB261" s="11" t="n">
        <f aca="false">SUMPRODUCT((AA261&gt;'Tax Tables'!$A$5:$A$17)*(AA261-'Tax Tables'!$A$5:$A$17)*'Tax Tables'!$C$5:$C$17)</f>
        <v>6087</v>
      </c>
      <c r="AC261" s="11" t="n">
        <f aca="false">IF(W261&lt;0,-1E+099,P261-T261-AB261+Y261+(T261+U261)*Calculator!$B$9)</f>
        <v>367080.35</v>
      </c>
    </row>
    <row r="262" customFormat="false" ht="15" hidden="false" customHeight="false" outlineLevel="0" collapsed="false">
      <c r="A262" s="11" t="n">
        <f aca="false">249*$B$3</f>
        <v>124500</v>
      </c>
      <c r="B262" s="11" t="n">
        <f aca="false">0</f>
        <v>0</v>
      </c>
      <c r="C262" s="11" t="n">
        <f aca="false">A262-B262</f>
        <v>124500</v>
      </c>
      <c r="D262" s="11" t="n">
        <f aca="false">IF(Calculator!$B$6="Yes",MIN(B262,'Tax Tables'!$B$31*'Tax Tables'!$B$32),0)</f>
        <v>0</v>
      </c>
      <c r="E262" s="11" t="n">
        <f aca="false">D262*Calculator!$B$7</f>
        <v>0</v>
      </c>
      <c r="F262" s="11" t="n">
        <f aca="false">D262*Calculator!$B$8</f>
        <v>0</v>
      </c>
      <c r="G262" s="11" t="n">
        <f aca="false">IF(B262&gt;0,'Tax Tables'!$B$32*MIN(MAX(B262/'Tax Tables'!$B$32*'Tax Tables'!$B$33,'Tax Tables'!$B$34),'Tax Tables'!$B$35),0)</f>
        <v>0</v>
      </c>
      <c r="H262" s="11" t="n">
        <f aca="false">Calculator!$B$5-A262-F262-G262</f>
        <v>275500</v>
      </c>
      <c r="I262" s="11" t="n">
        <f aca="false">'Tax Tables'!$B$22*(MAX(H262,0)-IF(Calculator!$B$10="Yes",MIN(MAX(H262,0),'Tax Tables'!$B$27)*'Tax Tables'!$B$28+MIN(MAX(MAX(H262,0)-'Tax Tables'!$B$27,0),'Tax Tables'!$B$29)*'Tax Tables'!$B$30,MIN(MAX(H262,0),'Tax Tables'!$B$23)*'Tax Tables'!$B$24+MIN(MAX(MAX(H262,0)-'Tax Tables'!$B$23,0),'Tax Tables'!$B$25)*'Tax Tables'!$B$26))*1-MIN('Tax Tables'!$B$22*(MAX(H262,0)-IF(Calculator!$B$10="Yes",MIN(MAX(H262,0),'Tax Tables'!$B$27)*'Tax Tables'!$B$28+MIN(MAX(MAX(H262,0)-'Tax Tables'!$B$27,0),'Tax Tables'!$B$29)*'Tax Tables'!$B$30,MIN(MAX(H262,0),'Tax Tables'!$B$23)*'Tax Tables'!$B$24+MIN(MAX(MAX(H262,0)-'Tax Tables'!$B$23,0),'Tax Tables'!$B$25)*'Tax Tables'!$B$26))*Calculator!$B$11,Calculator!$B$12)</f>
        <v>29410</v>
      </c>
      <c r="J262" s="11" t="n">
        <f aca="false">MAX(H262,0)-I262</f>
        <v>246090</v>
      </c>
      <c r="K262" s="11" t="n">
        <f aca="false">MIN(IF(A262&gt;0,Calculator!$B$13,0)+E262+Calculator!$B$14,'Tax Tables'!$B$36)</f>
        <v>1000</v>
      </c>
      <c r="L262" s="11" t="n">
        <f aca="false">MAX(A262-K262,0)</f>
        <v>123500</v>
      </c>
      <c r="M262" s="11" t="n">
        <f aca="false">SUMPRODUCT((L262&gt;'Tax Tables'!$A$5:$A$17)*(L262-'Tax Tables'!$A$5:$A$17)*'Tax Tables'!$C$5:$C$17)</f>
        <v>8475</v>
      </c>
      <c r="N262" s="11" t="n">
        <f aca="false">IF(H262&lt;0,-1E+099,A262-E262-M262+J262+(E262+F262)*Calculator!$B$9)</f>
        <v>362115</v>
      </c>
      <c r="O262" s="2"/>
      <c r="P262" s="11" t="n">
        <f aca="false">249*$B$3</f>
        <v>124500</v>
      </c>
      <c r="Q262" s="11" t="n">
        <f aca="false">MIN(P262,'Tax Tables'!$B$31*'Tax Tables'!$B$32)</f>
        <v>96000</v>
      </c>
      <c r="R262" s="11" t="n">
        <f aca="false">P262-Q262</f>
        <v>28500</v>
      </c>
      <c r="S262" s="11" t="n">
        <f aca="false">IF(Calculator!$B$6="Yes",MIN(Q262,'Tax Tables'!$B$31*'Tax Tables'!$B$32),0)</f>
        <v>96000</v>
      </c>
      <c r="T262" s="11" t="n">
        <f aca="false">S262*Calculator!$B$7</f>
        <v>19200</v>
      </c>
      <c r="U262" s="11" t="n">
        <f aca="false">S262*Calculator!$B$8</f>
        <v>16320</v>
      </c>
      <c r="V262" s="11" t="n">
        <f aca="false">IF(Q262&gt;0,'Tax Tables'!$B$32*MIN(MAX(Q262/'Tax Tables'!$B$32*'Tax Tables'!$B$33,'Tax Tables'!$B$34),'Tax Tables'!$B$35),0)</f>
        <v>135</v>
      </c>
      <c r="W262" s="11" t="n">
        <f aca="false">Calculator!$B$5-P262-U262-V262</f>
        <v>259045</v>
      </c>
      <c r="X262" s="11" t="n">
        <f aca="false">'Tax Tables'!$B$22*(MAX(W262,0)-IF(Calculator!$B$10="Yes",MIN(MAX(W262,0),'Tax Tables'!$B$27)*'Tax Tables'!$B$28+MIN(MAX(MAX(W262,0)-'Tax Tables'!$B$27,0),'Tax Tables'!$B$29)*'Tax Tables'!$B$30,MIN(MAX(W262,0),'Tax Tables'!$B$23)*'Tax Tables'!$B$24+MIN(MAX(MAX(W262,0)-'Tax Tables'!$B$23,0),'Tax Tables'!$B$25)*'Tax Tables'!$B$26))*1-MIN('Tax Tables'!$B$22*(MAX(W262,0)-IF(Calculator!$B$10="Yes",MIN(MAX(W262,0),'Tax Tables'!$B$27)*'Tax Tables'!$B$28+MIN(MAX(MAX(W262,0)-'Tax Tables'!$B$27,0),'Tax Tables'!$B$29)*'Tax Tables'!$B$30,MIN(MAX(W262,0),'Tax Tables'!$B$23)*'Tax Tables'!$B$24+MIN(MAX(MAX(W262,0)-'Tax Tables'!$B$23,0),'Tax Tables'!$B$25)*'Tax Tables'!$B$26))*Calculator!$B$11,Calculator!$B$12)</f>
        <v>26612.65</v>
      </c>
      <c r="Y262" s="11" t="n">
        <f aca="false">MAX(W262,0)-X262</f>
        <v>232432.35</v>
      </c>
      <c r="Z262" s="11" t="n">
        <f aca="false">MIN(IF(P262&gt;0,Calculator!$B$13,0)+T262+Calculator!$B$14,'Tax Tables'!$B$36)</f>
        <v>20200</v>
      </c>
      <c r="AA262" s="11" t="n">
        <f aca="false">MAX(P262-Z262,0)</f>
        <v>104300</v>
      </c>
      <c r="AB262" s="11" t="n">
        <f aca="false">SUMPRODUCT((AA262&gt;'Tax Tables'!$A$5:$A$17)*(AA262-'Tax Tables'!$A$5:$A$17)*'Tax Tables'!$C$5:$C$17)</f>
        <v>6144.5</v>
      </c>
      <c r="AC262" s="11" t="n">
        <f aca="false">IF(W262&lt;0,-1E+099,P262-T262-AB262+Y262+(T262+U262)*Calculator!$B$9)</f>
        <v>367107.85</v>
      </c>
    </row>
    <row r="263" customFormat="false" ht="15" hidden="false" customHeight="false" outlineLevel="0" collapsed="false">
      <c r="A263" s="11" t="n">
        <f aca="false">250*$B$3</f>
        <v>125000</v>
      </c>
      <c r="B263" s="11" t="n">
        <f aca="false">0</f>
        <v>0</v>
      </c>
      <c r="C263" s="11" t="n">
        <f aca="false">A263-B263</f>
        <v>125000</v>
      </c>
      <c r="D263" s="11" t="n">
        <f aca="false">IF(Calculator!$B$6="Yes",MIN(B263,'Tax Tables'!$B$31*'Tax Tables'!$B$32),0)</f>
        <v>0</v>
      </c>
      <c r="E263" s="11" t="n">
        <f aca="false">D263*Calculator!$B$7</f>
        <v>0</v>
      </c>
      <c r="F263" s="11" t="n">
        <f aca="false">D263*Calculator!$B$8</f>
        <v>0</v>
      </c>
      <c r="G263" s="11" t="n">
        <f aca="false">IF(B263&gt;0,'Tax Tables'!$B$32*MIN(MAX(B263/'Tax Tables'!$B$32*'Tax Tables'!$B$33,'Tax Tables'!$B$34),'Tax Tables'!$B$35),0)</f>
        <v>0</v>
      </c>
      <c r="H263" s="11" t="n">
        <f aca="false">Calculator!$B$5-A263-F263-G263</f>
        <v>275000</v>
      </c>
      <c r="I263" s="11" t="n">
        <f aca="false">'Tax Tables'!$B$22*(MAX(H263,0)-IF(Calculator!$B$10="Yes",MIN(MAX(H263,0),'Tax Tables'!$B$27)*'Tax Tables'!$B$28+MIN(MAX(MAX(H263,0)-'Tax Tables'!$B$27,0),'Tax Tables'!$B$29)*'Tax Tables'!$B$30,MIN(MAX(H263,0),'Tax Tables'!$B$23)*'Tax Tables'!$B$24+MIN(MAX(MAX(H263,0)-'Tax Tables'!$B$23,0),'Tax Tables'!$B$25)*'Tax Tables'!$B$26))*1-MIN('Tax Tables'!$B$22*(MAX(H263,0)-IF(Calculator!$B$10="Yes",MIN(MAX(H263,0),'Tax Tables'!$B$27)*'Tax Tables'!$B$28+MIN(MAX(MAX(H263,0)-'Tax Tables'!$B$27,0),'Tax Tables'!$B$29)*'Tax Tables'!$B$30,MIN(MAX(H263,0),'Tax Tables'!$B$23)*'Tax Tables'!$B$24+MIN(MAX(MAX(H263,0)-'Tax Tables'!$B$23,0),'Tax Tables'!$B$25)*'Tax Tables'!$B$26))*Calculator!$B$11,Calculator!$B$12)</f>
        <v>29325</v>
      </c>
      <c r="J263" s="11" t="n">
        <f aca="false">MAX(H263,0)-I263</f>
        <v>245675</v>
      </c>
      <c r="K263" s="11" t="n">
        <f aca="false">MIN(IF(A263&gt;0,Calculator!$B$13,0)+E263+Calculator!$B$14,'Tax Tables'!$B$36)</f>
        <v>1000</v>
      </c>
      <c r="L263" s="11" t="n">
        <f aca="false">MAX(A263-K263,0)</f>
        <v>124000</v>
      </c>
      <c r="M263" s="11" t="n">
        <f aca="false">SUMPRODUCT((L263&gt;'Tax Tables'!$A$5:$A$17)*(L263-'Tax Tables'!$A$5:$A$17)*'Tax Tables'!$C$5:$C$17)</f>
        <v>8550</v>
      </c>
      <c r="N263" s="11" t="n">
        <f aca="false">IF(H263&lt;0,-1E+099,A263-E263-M263+J263+(E263+F263)*Calculator!$B$9)</f>
        <v>362125</v>
      </c>
      <c r="O263" s="2"/>
      <c r="P263" s="11" t="n">
        <f aca="false">250*$B$3</f>
        <v>125000</v>
      </c>
      <c r="Q263" s="11" t="n">
        <f aca="false">MIN(P263,'Tax Tables'!$B$31*'Tax Tables'!$B$32)</f>
        <v>96000</v>
      </c>
      <c r="R263" s="11" t="n">
        <f aca="false">P263-Q263</f>
        <v>29000</v>
      </c>
      <c r="S263" s="11" t="n">
        <f aca="false">IF(Calculator!$B$6="Yes",MIN(Q263,'Tax Tables'!$B$31*'Tax Tables'!$B$32),0)</f>
        <v>96000</v>
      </c>
      <c r="T263" s="11" t="n">
        <f aca="false">S263*Calculator!$B$7</f>
        <v>19200</v>
      </c>
      <c r="U263" s="11" t="n">
        <f aca="false">S263*Calculator!$B$8</f>
        <v>16320</v>
      </c>
      <c r="V263" s="11" t="n">
        <f aca="false">IF(Q263&gt;0,'Tax Tables'!$B$32*MIN(MAX(Q263/'Tax Tables'!$B$32*'Tax Tables'!$B$33,'Tax Tables'!$B$34),'Tax Tables'!$B$35),0)</f>
        <v>135</v>
      </c>
      <c r="W263" s="11" t="n">
        <f aca="false">Calculator!$B$5-P263-U263-V263</f>
        <v>258545</v>
      </c>
      <c r="X263" s="11" t="n">
        <f aca="false">'Tax Tables'!$B$22*(MAX(W263,0)-IF(Calculator!$B$10="Yes",MIN(MAX(W263,0),'Tax Tables'!$B$27)*'Tax Tables'!$B$28+MIN(MAX(MAX(W263,0)-'Tax Tables'!$B$27,0),'Tax Tables'!$B$29)*'Tax Tables'!$B$30,MIN(MAX(W263,0),'Tax Tables'!$B$23)*'Tax Tables'!$B$24+MIN(MAX(MAX(W263,0)-'Tax Tables'!$B$23,0),'Tax Tables'!$B$25)*'Tax Tables'!$B$26))*1-MIN('Tax Tables'!$B$22*(MAX(W263,0)-IF(Calculator!$B$10="Yes",MIN(MAX(W263,0),'Tax Tables'!$B$27)*'Tax Tables'!$B$28+MIN(MAX(MAX(W263,0)-'Tax Tables'!$B$27,0),'Tax Tables'!$B$29)*'Tax Tables'!$B$30,MIN(MAX(W263,0),'Tax Tables'!$B$23)*'Tax Tables'!$B$24+MIN(MAX(MAX(W263,0)-'Tax Tables'!$B$23,0),'Tax Tables'!$B$25)*'Tax Tables'!$B$26))*Calculator!$B$11,Calculator!$B$12)</f>
        <v>26527.65</v>
      </c>
      <c r="Y263" s="11" t="n">
        <f aca="false">MAX(W263,0)-X263</f>
        <v>232017.35</v>
      </c>
      <c r="Z263" s="11" t="n">
        <f aca="false">MIN(IF(P263&gt;0,Calculator!$B$13,0)+T263+Calculator!$B$14,'Tax Tables'!$B$36)</f>
        <v>20200</v>
      </c>
      <c r="AA263" s="11" t="n">
        <f aca="false">MAX(P263-Z263,0)</f>
        <v>104800</v>
      </c>
      <c r="AB263" s="11" t="n">
        <f aca="false">SUMPRODUCT((AA263&gt;'Tax Tables'!$A$5:$A$17)*(AA263-'Tax Tables'!$A$5:$A$17)*'Tax Tables'!$C$5:$C$17)</f>
        <v>6202</v>
      </c>
      <c r="AC263" s="11" t="n">
        <f aca="false">IF(W263&lt;0,-1E+099,P263-T263-AB263+Y263+(T263+U263)*Calculator!$B$9)</f>
        <v>367135.35</v>
      </c>
    </row>
    <row r="264" customFormat="false" ht="15" hidden="false" customHeight="false" outlineLevel="0" collapsed="false">
      <c r="A264" s="11" t="n">
        <f aca="false">251*$B$3</f>
        <v>125500</v>
      </c>
      <c r="B264" s="11" t="n">
        <f aca="false">0</f>
        <v>0</v>
      </c>
      <c r="C264" s="11" t="n">
        <f aca="false">A264-B264</f>
        <v>125500</v>
      </c>
      <c r="D264" s="11" t="n">
        <f aca="false">IF(Calculator!$B$6="Yes",MIN(B264,'Tax Tables'!$B$31*'Tax Tables'!$B$32),0)</f>
        <v>0</v>
      </c>
      <c r="E264" s="11" t="n">
        <f aca="false">D264*Calculator!$B$7</f>
        <v>0</v>
      </c>
      <c r="F264" s="11" t="n">
        <f aca="false">D264*Calculator!$B$8</f>
        <v>0</v>
      </c>
      <c r="G264" s="11" t="n">
        <f aca="false">IF(B264&gt;0,'Tax Tables'!$B$32*MIN(MAX(B264/'Tax Tables'!$B$32*'Tax Tables'!$B$33,'Tax Tables'!$B$34),'Tax Tables'!$B$35),0)</f>
        <v>0</v>
      </c>
      <c r="H264" s="11" t="n">
        <f aca="false">Calculator!$B$5-A264-F264-G264</f>
        <v>274500</v>
      </c>
      <c r="I264" s="11" t="n">
        <f aca="false">'Tax Tables'!$B$22*(MAX(H264,0)-IF(Calculator!$B$10="Yes",MIN(MAX(H264,0),'Tax Tables'!$B$27)*'Tax Tables'!$B$28+MIN(MAX(MAX(H264,0)-'Tax Tables'!$B$27,0),'Tax Tables'!$B$29)*'Tax Tables'!$B$30,MIN(MAX(H264,0),'Tax Tables'!$B$23)*'Tax Tables'!$B$24+MIN(MAX(MAX(H264,0)-'Tax Tables'!$B$23,0),'Tax Tables'!$B$25)*'Tax Tables'!$B$26))*1-MIN('Tax Tables'!$B$22*(MAX(H264,0)-IF(Calculator!$B$10="Yes",MIN(MAX(H264,0),'Tax Tables'!$B$27)*'Tax Tables'!$B$28+MIN(MAX(MAX(H264,0)-'Tax Tables'!$B$27,0),'Tax Tables'!$B$29)*'Tax Tables'!$B$30,MIN(MAX(H264,0),'Tax Tables'!$B$23)*'Tax Tables'!$B$24+MIN(MAX(MAX(H264,0)-'Tax Tables'!$B$23,0),'Tax Tables'!$B$25)*'Tax Tables'!$B$26))*Calculator!$B$11,Calculator!$B$12)</f>
        <v>29240</v>
      </c>
      <c r="J264" s="11" t="n">
        <f aca="false">MAX(H264,0)-I264</f>
        <v>245260</v>
      </c>
      <c r="K264" s="11" t="n">
        <f aca="false">MIN(IF(A264&gt;0,Calculator!$B$13,0)+E264+Calculator!$B$14,'Tax Tables'!$B$36)</f>
        <v>1000</v>
      </c>
      <c r="L264" s="11" t="n">
        <f aca="false">MAX(A264-K264,0)</f>
        <v>124500</v>
      </c>
      <c r="M264" s="11" t="n">
        <f aca="false">SUMPRODUCT((L264&gt;'Tax Tables'!$A$5:$A$17)*(L264-'Tax Tables'!$A$5:$A$17)*'Tax Tables'!$C$5:$C$17)</f>
        <v>8625</v>
      </c>
      <c r="N264" s="11" t="n">
        <f aca="false">IF(H264&lt;0,-1E+099,A264-E264-M264+J264+(E264+F264)*Calculator!$B$9)</f>
        <v>362135</v>
      </c>
      <c r="O264" s="2"/>
      <c r="P264" s="11" t="n">
        <f aca="false">251*$B$3</f>
        <v>125500</v>
      </c>
      <c r="Q264" s="11" t="n">
        <f aca="false">MIN(P264,'Tax Tables'!$B$31*'Tax Tables'!$B$32)</f>
        <v>96000</v>
      </c>
      <c r="R264" s="11" t="n">
        <f aca="false">P264-Q264</f>
        <v>29500</v>
      </c>
      <c r="S264" s="11" t="n">
        <f aca="false">IF(Calculator!$B$6="Yes",MIN(Q264,'Tax Tables'!$B$31*'Tax Tables'!$B$32),0)</f>
        <v>96000</v>
      </c>
      <c r="T264" s="11" t="n">
        <f aca="false">S264*Calculator!$B$7</f>
        <v>19200</v>
      </c>
      <c r="U264" s="11" t="n">
        <f aca="false">S264*Calculator!$B$8</f>
        <v>16320</v>
      </c>
      <c r="V264" s="11" t="n">
        <f aca="false">IF(Q264&gt;0,'Tax Tables'!$B$32*MIN(MAX(Q264/'Tax Tables'!$B$32*'Tax Tables'!$B$33,'Tax Tables'!$B$34),'Tax Tables'!$B$35),0)</f>
        <v>135</v>
      </c>
      <c r="W264" s="11" t="n">
        <f aca="false">Calculator!$B$5-P264-U264-V264</f>
        <v>258045</v>
      </c>
      <c r="X264" s="11" t="n">
        <f aca="false">'Tax Tables'!$B$22*(MAX(W264,0)-IF(Calculator!$B$10="Yes",MIN(MAX(W264,0),'Tax Tables'!$B$27)*'Tax Tables'!$B$28+MIN(MAX(MAX(W264,0)-'Tax Tables'!$B$27,0),'Tax Tables'!$B$29)*'Tax Tables'!$B$30,MIN(MAX(W264,0),'Tax Tables'!$B$23)*'Tax Tables'!$B$24+MIN(MAX(MAX(W264,0)-'Tax Tables'!$B$23,0),'Tax Tables'!$B$25)*'Tax Tables'!$B$26))*1-MIN('Tax Tables'!$B$22*(MAX(W264,0)-IF(Calculator!$B$10="Yes",MIN(MAX(W264,0),'Tax Tables'!$B$27)*'Tax Tables'!$B$28+MIN(MAX(MAX(W264,0)-'Tax Tables'!$B$27,0),'Tax Tables'!$B$29)*'Tax Tables'!$B$30,MIN(MAX(W264,0),'Tax Tables'!$B$23)*'Tax Tables'!$B$24+MIN(MAX(MAX(W264,0)-'Tax Tables'!$B$23,0),'Tax Tables'!$B$25)*'Tax Tables'!$B$26))*Calculator!$B$11,Calculator!$B$12)</f>
        <v>26442.65</v>
      </c>
      <c r="Y264" s="11" t="n">
        <f aca="false">MAX(W264,0)-X264</f>
        <v>231602.35</v>
      </c>
      <c r="Z264" s="11" t="n">
        <f aca="false">MIN(IF(P264&gt;0,Calculator!$B$13,0)+T264+Calculator!$B$14,'Tax Tables'!$B$36)</f>
        <v>20200</v>
      </c>
      <c r="AA264" s="11" t="n">
        <f aca="false">MAX(P264-Z264,0)</f>
        <v>105300</v>
      </c>
      <c r="AB264" s="11" t="n">
        <f aca="false">SUMPRODUCT((AA264&gt;'Tax Tables'!$A$5:$A$17)*(AA264-'Tax Tables'!$A$5:$A$17)*'Tax Tables'!$C$5:$C$17)</f>
        <v>6259.5</v>
      </c>
      <c r="AC264" s="11" t="n">
        <f aca="false">IF(W264&lt;0,-1E+099,P264-T264-AB264+Y264+(T264+U264)*Calculator!$B$9)</f>
        <v>367162.85</v>
      </c>
    </row>
    <row r="265" customFormat="false" ht="15" hidden="false" customHeight="false" outlineLevel="0" collapsed="false">
      <c r="A265" s="11" t="n">
        <f aca="false">252*$B$3</f>
        <v>126000</v>
      </c>
      <c r="B265" s="11" t="n">
        <f aca="false">0</f>
        <v>0</v>
      </c>
      <c r="C265" s="11" t="n">
        <f aca="false">A265-B265</f>
        <v>126000</v>
      </c>
      <c r="D265" s="11" t="n">
        <f aca="false">IF(Calculator!$B$6="Yes",MIN(B265,'Tax Tables'!$B$31*'Tax Tables'!$B$32),0)</f>
        <v>0</v>
      </c>
      <c r="E265" s="11" t="n">
        <f aca="false">D265*Calculator!$B$7</f>
        <v>0</v>
      </c>
      <c r="F265" s="11" t="n">
        <f aca="false">D265*Calculator!$B$8</f>
        <v>0</v>
      </c>
      <c r="G265" s="11" t="n">
        <f aca="false">IF(B265&gt;0,'Tax Tables'!$B$32*MIN(MAX(B265/'Tax Tables'!$B$32*'Tax Tables'!$B$33,'Tax Tables'!$B$34),'Tax Tables'!$B$35),0)</f>
        <v>0</v>
      </c>
      <c r="H265" s="11" t="n">
        <f aca="false">Calculator!$B$5-A265-F265-G265</f>
        <v>274000</v>
      </c>
      <c r="I265" s="11" t="n">
        <f aca="false">'Tax Tables'!$B$22*(MAX(H265,0)-IF(Calculator!$B$10="Yes",MIN(MAX(H265,0),'Tax Tables'!$B$27)*'Tax Tables'!$B$28+MIN(MAX(MAX(H265,0)-'Tax Tables'!$B$27,0),'Tax Tables'!$B$29)*'Tax Tables'!$B$30,MIN(MAX(H265,0),'Tax Tables'!$B$23)*'Tax Tables'!$B$24+MIN(MAX(MAX(H265,0)-'Tax Tables'!$B$23,0),'Tax Tables'!$B$25)*'Tax Tables'!$B$26))*1-MIN('Tax Tables'!$B$22*(MAX(H265,0)-IF(Calculator!$B$10="Yes",MIN(MAX(H265,0),'Tax Tables'!$B$27)*'Tax Tables'!$B$28+MIN(MAX(MAX(H265,0)-'Tax Tables'!$B$27,0),'Tax Tables'!$B$29)*'Tax Tables'!$B$30,MIN(MAX(H265,0),'Tax Tables'!$B$23)*'Tax Tables'!$B$24+MIN(MAX(MAX(H265,0)-'Tax Tables'!$B$23,0),'Tax Tables'!$B$25)*'Tax Tables'!$B$26))*Calculator!$B$11,Calculator!$B$12)</f>
        <v>29155</v>
      </c>
      <c r="J265" s="11" t="n">
        <f aca="false">MAX(H265,0)-I265</f>
        <v>244845</v>
      </c>
      <c r="K265" s="11" t="n">
        <f aca="false">MIN(IF(A265&gt;0,Calculator!$B$13,0)+E265+Calculator!$B$14,'Tax Tables'!$B$36)</f>
        <v>1000</v>
      </c>
      <c r="L265" s="11" t="n">
        <f aca="false">MAX(A265-K265,0)</f>
        <v>125000</v>
      </c>
      <c r="M265" s="11" t="n">
        <f aca="false">SUMPRODUCT((L265&gt;'Tax Tables'!$A$5:$A$17)*(L265-'Tax Tables'!$A$5:$A$17)*'Tax Tables'!$C$5:$C$17)</f>
        <v>8700</v>
      </c>
      <c r="N265" s="11" t="n">
        <f aca="false">IF(H265&lt;0,-1E+099,A265-E265-M265+J265+(E265+F265)*Calculator!$B$9)</f>
        <v>362145</v>
      </c>
      <c r="O265" s="2"/>
      <c r="P265" s="11" t="n">
        <f aca="false">252*$B$3</f>
        <v>126000</v>
      </c>
      <c r="Q265" s="11" t="n">
        <f aca="false">MIN(P265,'Tax Tables'!$B$31*'Tax Tables'!$B$32)</f>
        <v>96000</v>
      </c>
      <c r="R265" s="11" t="n">
        <f aca="false">P265-Q265</f>
        <v>30000</v>
      </c>
      <c r="S265" s="11" t="n">
        <f aca="false">IF(Calculator!$B$6="Yes",MIN(Q265,'Tax Tables'!$B$31*'Tax Tables'!$B$32),0)</f>
        <v>96000</v>
      </c>
      <c r="T265" s="11" t="n">
        <f aca="false">S265*Calculator!$B$7</f>
        <v>19200</v>
      </c>
      <c r="U265" s="11" t="n">
        <f aca="false">S265*Calculator!$B$8</f>
        <v>16320</v>
      </c>
      <c r="V265" s="11" t="n">
        <f aca="false">IF(Q265&gt;0,'Tax Tables'!$B$32*MIN(MAX(Q265/'Tax Tables'!$B$32*'Tax Tables'!$B$33,'Tax Tables'!$B$34),'Tax Tables'!$B$35),0)</f>
        <v>135</v>
      </c>
      <c r="W265" s="11" t="n">
        <f aca="false">Calculator!$B$5-P265-U265-V265</f>
        <v>257545</v>
      </c>
      <c r="X265" s="11" t="n">
        <f aca="false">'Tax Tables'!$B$22*(MAX(W265,0)-IF(Calculator!$B$10="Yes",MIN(MAX(W265,0),'Tax Tables'!$B$27)*'Tax Tables'!$B$28+MIN(MAX(MAX(W265,0)-'Tax Tables'!$B$27,0),'Tax Tables'!$B$29)*'Tax Tables'!$B$30,MIN(MAX(W265,0),'Tax Tables'!$B$23)*'Tax Tables'!$B$24+MIN(MAX(MAX(W265,0)-'Tax Tables'!$B$23,0),'Tax Tables'!$B$25)*'Tax Tables'!$B$26))*1-MIN('Tax Tables'!$B$22*(MAX(W265,0)-IF(Calculator!$B$10="Yes",MIN(MAX(W265,0),'Tax Tables'!$B$27)*'Tax Tables'!$B$28+MIN(MAX(MAX(W265,0)-'Tax Tables'!$B$27,0),'Tax Tables'!$B$29)*'Tax Tables'!$B$30,MIN(MAX(W265,0),'Tax Tables'!$B$23)*'Tax Tables'!$B$24+MIN(MAX(MAX(W265,0)-'Tax Tables'!$B$23,0),'Tax Tables'!$B$25)*'Tax Tables'!$B$26))*Calculator!$B$11,Calculator!$B$12)</f>
        <v>26357.65</v>
      </c>
      <c r="Y265" s="11" t="n">
        <f aca="false">MAX(W265,0)-X265</f>
        <v>231187.35</v>
      </c>
      <c r="Z265" s="11" t="n">
        <f aca="false">MIN(IF(P265&gt;0,Calculator!$B$13,0)+T265+Calculator!$B$14,'Tax Tables'!$B$36)</f>
        <v>20200</v>
      </c>
      <c r="AA265" s="11" t="n">
        <f aca="false">MAX(P265-Z265,0)</f>
        <v>105800</v>
      </c>
      <c r="AB265" s="11" t="n">
        <f aca="false">SUMPRODUCT((AA265&gt;'Tax Tables'!$A$5:$A$17)*(AA265-'Tax Tables'!$A$5:$A$17)*'Tax Tables'!$C$5:$C$17)</f>
        <v>6317</v>
      </c>
      <c r="AC265" s="11" t="n">
        <f aca="false">IF(W265&lt;0,-1E+099,P265-T265-AB265+Y265+(T265+U265)*Calculator!$B$9)</f>
        <v>367190.35</v>
      </c>
    </row>
    <row r="266" customFormat="false" ht="15" hidden="false" customHeight="false" outlineLevel="0" collapsed="false">
      <c r="A266" s="11" t="n">
        <f aca="false">253*$B$3</f>
        <v>126500</v>
      </c>
      <c r="B266" s="11" t="n">
        <f aca="false">0</f>
        <v>0</v>
      </c>
      <c r="C266" s="11" t="n">
        <f aca="false">A266-B266</f>
        <v>126500</v>
      </c>
      <c r="D266" s="11" t="n">
        <f aca="false">IF(Calculator!$B$6="Yes",MIN(B266,'Tax Tables'!$B$31*'Tax Tables'!$B$32),0)</f>
        <v>0</v>
      </c>
      <c r="E266" s="11" t="n">
        <f aca="false">D266*Calculator!$B$7</f>
        <v>0</v>
      </c>
      <c r="F266" s="11" t="n">
        <f aca="false">D266*Calculator!$B$8</f>
        <v>0</v>
      </c>
      <c r="G266" s="11" t="n">
        <f aca="false">IF(B266&gt;0,'Tax Tables'!$B$32*MIN(MAX(B266/'Tax Tables'!$B$32*'Tax Tables'!$B$33,'Tax Tables'!$B$34),'Tax Tables'!$B$35),0)</f>
        <v>0</v>
      </c>
      <c r="H266" s="11" t="n">
        <f aca="false">Calculator!$B$5-A266-F266-G266</f>
        <v>273500</v>
      </c>
      <c r="I266" s="11" t="n">
        <f aca="false">'Tax Tables'!$B$22*(MAX(H266,0)-IF(Calculator!$B$10="Yes",MIN(MAX(H266,0),'Tax Tables'!$B$27)*'Tax Tables'!$B$28+MIN(MAX(MAX(H266,0)-'Tax Tables'!$B$27,0),'Tax Tables'!$B$29)*'Tax Tables'!$B$30,MIN(MAX(H266,0),'Tax Tables'!$B$23)*'Tax Tables'!$B$24+MIN(MAX(MAX(H266,0)-'Tax Tables'!$B$23,0),'Tax Tables'!$B$25)*'Tax Tables'!$B$26))*1-MIN('Tax Tables'!$B$22*(MAX(H266,0)-IF(Calculator!$B$10="Yes",MIN(MAX(H266,0),'Tax Tables'!$B$27)*'Tax Tables'!$B$28+MIN(MAX(MAX(H266,0)-'Tax Tables'!$B$27,0),'Tax Tables'!$B$29)*'Tax Tables'!$B$30,MIN(MAX(H266,0),'Tax Tables'!$B$23)*'Tax Tables'!$B$24+MIN(MAX(MAX(H266,0)-'Tax Tables'!$B$23,0),'Tax Tables'!$B$25)*'Tax Tables'!$B$26))*Calculator!$B$11,Calculator!$B$12)</f>
        <v>29070</v>
      </c>
      <c r="J266" s="11" t="n">
        <f aca="false">MAX(H266,0)-I266</f>
        <v>244430</v>
      </c>
      <c r="K266" s="11" t="n">
        <f aca="false">MIN(IF(A266&gt;0,Calculator!$B$13,0)+E266+Calculator!$B$14,'Tax Tables'!$B$36)</f>
        <v>1000</v>
      </c>
      <c r="L266" s="11" t="n">
        <f aca="false">MAX(A266-K266,0)</f>
        <v>125500</v>
      </c>
      <c r="M266" s="11" t="n">
        <f aca="false">SUMPRODUCT((L266&gt;'Tax Tables'!$A$5:$A$17)*(L266-'Tax Tables'!$A$5:$A$17)*'Tax Tables'!$C$5:$C$17)</f>
        <v>8775</v>
      </c>
      <c r="N266" s="11" t="n">
        <f aca="false">IF(H266&lt;0,-1E+099,A266-E266-M266+J266+(E266+F266)*Calculator!$B$9)</f>
        <v>362155</v>
      </c>
      <c r="O266" s="2"/>
      <c r="P266" s="11" t="n">
        <f aca="false">253*$B$3</f>
        <v>126500</v>
      </c>
      <c r="Q266" s="11" t="n">
        <f aca="false">MIN(P266,'Tax Tables'!$B$31*'Tax Tables'!$B$32)</f>
        <v>96000</v>
      </c>
      <c r="R266" s="11" t="n">
        <f aca="false">P266-Q266</f>
        <v>30500</v>
      </c>
      <c r="S266" s="11" t="n">
        <f aca="false">IF(Calculator!$B$6="Yes",MIN(Q266,'Tax Tables'!$B$31*'Tax Tables'!$B$32),0)</f>
        <v>96000</v>
      </c>
      <c r="T266" s="11" t="n">
        <f aca="false">S266*Calculator!$B$7</f>
        <v>19200</v>
      </c>
      <c r="U266" s="11" t="n">
        <f aca="false">S266*Calculator!$B$8</f>
        <v>16320</v>
      </c>
      <c r="V266" s="11" t="n">
        <f aca="false">IF(Q266&gt;0,'Tax Tables'!$B$32*MIN(MAX(Q266/'Tax Tables'!$B$32*'Tax Tables'!$B$33,'Tax Tables'!$B$34),'Tax Tables'!$B$35),0)</f>
        <v>135</v>
      </c>
      <c r="W266" s="11" t="n">
        <f aca="false">Calculator!$B$5-P266-U266-V266</f>
        <v>257045</v>
      </c>
      <c r="X266" s="11" t="n">
        <f aca="false">'Tax Tables'!$B$22*(MAX(W266,0)-IF(Calculator!$B$10="Yes",MIN(MAX(W266,0),'Tax Tables'!$B$27)*'Tax Tables'!$B$28+MIN(MAX(MAX(W266,0)-'Tax Tables'!$B$27,0),'Tax Tables'!$B$29)*'Tax Tables'!$B$30,MIN(MAX(W266,0),'Tax Tables'!$B$23)*'Tax Tables'!$B$24+MIN(MAX(MAX(W266,0)-'Tax Tables'!$B$23,0),'Tax Tables'!$B$25)*'Tax Tables'!$B$26))*1-MIN('Tax Tables'!$B$22*(MAX(W266,0)-IF(Calculator!$B$10="Yes",MIN(MAX(W266,0),'Tax Tables'!$B$27)*'Tax Tables'!$B$28+MIN(MAX(MAX(W266,0)-'Tax Tables'!$B$27,0),'Tax Tables'!$B$29)*'Tax Tables'!$B$30,MIN(MAX(W266,0),'Tax Tables'!$B$23)*'Tax Tables'!$B$24+MIN(MAX(MAX(W266,0)-'Tax Tables'!$B$23,0),'Tax Tables'!$B$25)*'Tax Tables'!$B$26))*Calculator!$B$11,Calculator!$B$12)</f>
        <v>26272.65</v>
      </c>
      <c r="Y266" s="11" t="n">
        <f aca="false">MAX(W266,0)-X266</f>
        <v>230772.35</v>
      </c>
      <c r="Z266" s="11" t="n">
        <f aca="false">MIN(IF(P266&gt;0,Calculator!$B$13,0)+T266+Calculator!$B$14,'Tax Tables'!$B$36)</f>
        <v>20200</v>
      </c>
      <c r="AA266" s="11" t="n">
        <f aca="false">MAX(P266-Z266,0)</f>
        <v>106300</v>
      </c>
      <c r="AB266" s="11" t="n">
        <f aca="false">SUMPRODUCT((AA266&gt;'Tax Tables'!$A$5:$A$17)*(AA266-'Tax Tables'!$A$5:$A$17)*'Tax Tables'!$C$5:$C$17)</f>
        <v>6374.5</v>
      </c>
      <c r="AC266" s="11" t="n">
        <f aca="false">IF(W266&lt;0,-1E+099,P266-T266-AB266+Y266+(T266+U266)*Calculator!$B$9)</f>
        <v>367217.85</v>
      </c>
    </row>
    <row r="267" customFormat="false" ht="15" hidden="false" customHeight="false" outlineLevel="0" collapsed="false">
      <c r="A267" s="11" t="n">
        <f aca="false">254*$B$3</f>
        <v>127000</v>
      </c>
      <c r="B267" s="11" t="n">
        <f aca="false">0</f>
        <v>0</v>
      </c>
      <c r="C267" s="11" t="n">
        <f aca="false">A267-B267</f>
        <v>127000</v>
      </c>
      <c r="D267" s="11" t="n">
        <f aca="false">IF(Calculator!$B$6="Yes",MIN(B267,'Tax Tables'!$B$31*'Tax Tables'!$B$32),0)</f>
        <v>0</v>
      </c>
      <c r="E267" s="11" t="n">
        <f aca="false">D267*Calculator!$B$7</f>
        <v>0</v>
      </c>
      <c r="F267" s="11" t="n">
        <f aca="false">D267*Calculator!$B$8</f>
        <v>0</v>
      </c>
      <c r="G267" s="11" t="n">
        <f aca="false">IF(B267&gt;0,'Tax Tables'!$B$32*MIN(MAX(B267/'Tax Tables'!$B$32*'Tax Tables'!$B$33,'Tax Tables'!$B$34),'Tax Tables'!$B$35),0)</f>
        <v>0</v>
      </c>
      <c r="H267" s="11" t="n">
        <f aca="false">Calculator!$B$5-A267-F267-G267</f>
        <v>273000</v>
      </c>
      <c r="I267" s="11" t="n">
        <f aca="false">'Tax Tables'!$B$22*(MAX(H267,0)-IF(Calculator!$B$10="Yes",MIN(MAX(H267,0),'Tax Tables'!$B$27)*'Tax Tables'!$B$28+MIN(MAX(MAX(H267,0)-'Tax Tables'!$B$27,0),'Tax Tables'!$B$29)*'Tax Tables'!$B$30,MIN(MAX(H267,0),'Tax Tables'!$B$23)*'Tax Tables'!$B$24+MIN(MAX(MAX(H267,0)-'Tax Tables'!$B$23,0),'Tax Tables'!$B$25)*'Tax Tables'!$B$26))*1-MIN('Tax Tables'!$B$22*(MAX(H267,0)-IF(Calculator!$B$10="Yes",MIN(MAX(H267,0),'Tax Tables'!$B$27)*'Tax Tables'!$B$28+MIN(MAX(MAX(H267,0)-'Tax Tables'!$B$27,0),'Tax Tables'!$B$29)*'Tax Tables'!$B$30,MIN(MAX(H267,0),'Tax Tables'!$B$23)*'Tax Tables'!$B$24+MIN(MAX(MAX(H267,0)-'Tax Tables'!$B$23,0),'Tax Tables'!$B$25)*'Tax Tables'!$B$26))*Calculator!$B$11,Calculator!$B$12)</f>
        <v>28985</v>
      </c>
      <c r="J267" s="11" t="n">
        <f aca="false">MAX(H267,0)-I267</f>
        <v>244015</v>
      </c>
      <c r="K267" s="11" t="n">
        <f aca="false">MIN(IF(A267&gt;0,Calculator!$B$13,0)+E267+Calculator!$B$14,'Tax Tables'!$B$36)</f>
        <v>1000</v>
      </c>
      <c r="L267" s="11" t="n">
        <f aca="false">MAX(A267-K267,0)</f>
        <v>126000</v>
      </c>
      <c r="M267" s="11" t="n">
        <f aca="false">SUMPRODUCT((L267&gt;'Tax Tables'!$A$5:$A$17)*(L267-'Tax Tables'!$A$5:$A$17)*'Tax Tables'!$C$5:$C$17)</f>
        <v>8850</v>
      </c>
      <c r="N267" s="11" t="n">
        <f aca="false">IF(H267&lt;0,-1E+099,A267-E267-M267+J267+(E267+F267)*Calculator!$B$9)</f>
        <v>362165</v>
      </c>
      <c r="O267" s="2"/>
      <c r="P267" s="11" t="n">
        <f aca="false">254*$B$3</f>
        <v>127000</v>
      </c>
      <c r="Q267" s="11" t="n">
        <f aca="false">MIN(P267,'Tax Tables'!$B$31*'Tax Tables'!$B$32)</f>
        <v>96000</v>
      </c>
      <c r="R267" s="11" t="n">
        <f aca="false">P267-Q267</f>
        <v>31000</v>
      </c>
      <c r="S267" s="11" t="n">
        <f aca="false">IF(Calculator!$B$6="Yes",MIN(Q267,'Tax Tables'!$B$31*'Tax Tables'!$B$32),0)</f>
        <v>96000</v>
      </c>
      <c r="T267" s="11" t="n">
        <f aca="false">S267*Calculator!$B$7</f>
        <v>19200</v>
      </c>
      <c r="U267" s="11" t="n">
        <f aca="false">S267*Calculator!$B$8</f>
        <v>16320</v>
      </c>
      <c r="V267" s="11" t="n">
        <f aca="false">IF(Q267&gt;0,'Tax Tables'!$B$32*MIN(MAX(Q267/'Tax Tables'!$B$32*'Tax Tables'!$B$33,'Tax Tables'!$B$34),'Tax Tables'!$B$35),0)</f>
        <v>135</v>
      </c>
      <c r="W267" s="11" t="n">
        <f aca="false">Calculator!$B$5-P267-U267-V267</f>
        <v>256545</v>
      </c>
      <c r="X267" s="11" t="n">
        <f aca="false">'Tax Tables'!$B$22*(MAX(W267,0)-IF(Calculator!$B$10="Yes",MIN(MAX(W267,0),'Tax Tables'!$B$27)*'Tax Tables'!$B$28+MIN(MAX(MAX(W267,0)-'Tax Tables'!$B$27,0),'Tax Tables'!$B$29)*'Tax Tables'!$B$30,MIN(MAX(W267,0),'Tax Tables'!$B$23)*'Tax Tables'!$B$24+MIN(MAX(MAX(W267,0)-'Tax Tables'!$B$23,0),'Tax Tables'!$B$25)*'Tax Tables'!$B$26))*1-MIN('Tax Tables'!$B$22*(MAX(W267,0)-IF(Calculator!$B$10="Yes",MIN(MAX(W267,0),'Tax Tables'!$B$27)*'Tax Tables'!$B$28+MIN(MAX(MAX(W267,0)-'Tax Tables'!$B$27,0),'Tax Tables'!$B$29)*'Tax Tables'!$B$30,MIN(MAX(W267,0),'Tax Tables'!$B$23)*'Tax Tables'!$B$24+MIN(MAX(MAX(W267,0)-'Tax Tables'!$B$23,0),'Tax Tables'!$B$25)*'Tax Tables'!$B$26))*Calculator!$B$11,Calculator!$B$12)</f>
        <v>26187.65</v>
      </c>
      <c r="Y267" s="11" t="n">
        <f aca="false">MAX(W267,0)-X267</f>
        <v>230357.35</v>
      </c>
      <c r="Z267" s="11" t="n">
        <f aca="false">MIN(IF(P267&gt;0,Calculator!$B$13,0)+T267+Calculator!$B$14,'Tax Tables'!$B$36)</f>
        <v>20200</v>
      </c>
      <c r="AA267" s="11" t="n">
        <f aca="false">MAX(P267-Z267,0)</f>
        <v>106800</v>
      </c>
      <c r="AB267" s="11" t="n">
        <f aca="false">SUMPRODUCT((AA267&gt;'Tax Tables'!$A$5:$A$17)*(AA267-'Tax Tables'!$A$5:$A$17)*'Tax Tables'!$C$5:$C$17)</f>
        <v>6432</v>
      </c>
      <c r="AC267" s="11" t="n">
        <f aca="false">IF(W267&lt;0,-1E+099,P267-T267-AB267+Y267+(T267+U267)*Calculator!$B$9)</f>
        <v>367245.35</v>
      </c>
    </row>
    <row r="268" customFormat="false" ht="15" hidden="false" customHeight="false" outlineLevel="0" collapsed="false">
      <c r="A268" s="11" t="n">
        <f aca="false">255*$B$3</f>
        <v>127500</v>
      </c>
      <c r="B268" s="11" t="n">
        <f aca="false">0</f>
        <v>0</v>
      </c>
      <c r="C268" s="11" t="n">
        <f aca="false">A268-B268</f>
        <v>127500</v>
      </c>
      <c r="D268" s="11" t="n">
        <f aca="false">IF(Calculator!$B$6="Yes",MIN(B268,'Tax Tables'!$B$31*'Tax Tables'!$B$32),0)</f>
        <v>0</v>
      </c>
      <c r="E268" s="11" t="n">
        <f aca="false">D268*Calculator!$B$7</f>
        <v>0</v>
      </c>
      <c r="F268" s="11" t="n">
        <f aca="false">D268*Calculator!$B$8</f>
        <v>0</v>
      </c>
      <c r="G268" s="11" t="n">
        <f aca="false">IF(B268&gt;0,'Tax Tables'!$B$32*MIN(MAX(B268/'Tax Tables'!$B$32*'Tax Tables'!$B$33,'Tax Tables'!$B$34),'Tax Tables'!$B$35),0)</f>
        <v>0</v>
      </c>
      <c r="H268" s="11" t="n">
        <f aca="false">Calculator!$B$5-A268-F268-G268</f>
        <v>272500</v>
      </c>
      <c r="I268" s="11" t="n">
        <f aca="false">'Tax Tables'!$B$22*(MAX(H268,0)-IF(Calculator!$B$10="Yes",MIN(MAX(H268,0),'Tax Tables'!$B$27)*'Tax Tables'!$B$28+MIN(MAX(MAX(H268,0)-'Tax Tables'!$B$27,0),'Tax Tables'!$B$29)*'Tax Tables'!$B$30,MIN(MAX(H268,0),'Tax Tables'!$B$23)*'Tax Tables'!$B$24+MIN(MAX(MAX(H268,0)-'Tax Tables'!$B$23,0),'Tax Tables'!$B$25)*'Tax Tables'!$B$26))*1-MIN('Tax Tables'!$B$22*(MAX(H268,0)-IF(Calculator!$B$10="Yes",MIN(MAX(H268,0),'Tax Tables'!$B$27)*'Tax Tables'!$B$28+MIN(MAX(MAX(H268,0)-'Tax Tables'!$B$27,0),'Tax Tables'!$B$29)*'Tax Tables'!$B$30,MIN(MAX(H268,0),'Tax Tables'!$B$23)*'Tax Tables'!$B$24+MIN(MAX(MAX(H268,0)-'Tax Tables'!$B$23,0),'Tax Tables'!$B$25)*'Tax Tables'!$B$26))*Calculator!$B$11,Calculator!$B$12)</f>
        <v>28900</v>
      </c>
      <c r="J268" s="11" t="n">
        <f aca="false">MAX(H268,0)-I268</f>
        <v>243600</v>
      </c>
      <c r="K268" s="11" t="n">
        <f aca="false">MIN(IF(A268&gt;0,Calculator!$B$13,0)+E268+Calculator!$B$14,'Tax Tables'!$B$36)</f>
        <v>1000</v>
      </c>
      <c r="L268" s="11" t="n">
        <f aca="false">MAX(A268-K268,0)</f>
        <v>126500</v>
      </c>
      <c r="M268" s="11" t="n">
        <f aca="false">SUMPRODUCT((L268&gt;'Tax Tables'!$A$5:$A$17)*(L268-'Tax Tables'!$A$5:$A$17)*'Tax Tables'!$C$5:$C$17)</f>
        <v>8925</v>
      </c>
      <c r="N268" s="11" t="n">
        <f aca="false">IF(H268&lt;0,-1E+099,A268-E268-M268+J268+(E268+F268)*Calculator!$B$9)</f>
        <v>362175</v>
      </c>
      <c r="O268" s="2"/>
      <c r="P268" s="11" t="n">
        <f aca="false">255*$B$3</f>
        <v>127500</v>
      </c>
      <c r="Q268" s="11" t="n">
        <f aca="false">MIN(P268,'Tax Tables'!$B$31*'Tax Tables'!$B$32)</f>
        <v>96000</v>
      </c>
      <c r="R268" s="11" t="n">
        <f aca="false">P268-Q268</f>
        <v>31500</v>
      </c>
      <c r="S268" s="11" t="n">
        <f aca="false">IF(Calculator!$B$6="Yes",MIN(Q268,'Tax Tables'!$B$31*'Tax Tables'!$B$32),0)</f>
        <v>96000</v>
      </c>
      <c r="T268" s="11" t="n">
        <f aca="false">S268*Calculator!$B$7</f>
        <v>19200</v>
      </c>
      <c r="U268" s="11" t="n">
        <f aca="false">S268*Calculator!$B$8</f>
        <v>16320</v>
      </c>
      <c r="V268" s="11" t="n">
        <f aca="false">IF(Q268&gt;0,'Tax Tables'!$B$32*MIN(MAX(Q268/'Tax Tables'!$B$32*'Tax Tables'!$B$33,'Tax Tables'!$B$34),'Tax Tables'!$B$35),0)</f>
        <v>135</v>
      </c>
      <c r="W268" s="11" t="n">
        <f aca="false">Calculator!$B$5-P268-U268-V268</f>
        <v>256045</v>
      </c>
      <c r="X268" s="11" t="n">
        <f aca="false">'Tax Tables'!$B$22*(MAX(W268,0)-IF(Calculator!$B$10="Yes",MIN(MAX(W268,0),'Tax Tables'!$B$27)*'Tax Tables'!$B$28+MIN(MAX(MAX(W268,0)-'Tax Tables'!$B$27,0),'Tax Tables'!$B$29)*'Tax Tables'!$B$30,MIN(MAX(W268,0),'Tax Tables'!$B$23)*'Tax Tables'!$B$24+MIN(MAX(MAX(W268,0)-'Tax Tables'!$B$23,0),'Tax Tables'!$B$25)*'Tax Tables'!$B$26))*1-MIN('Tax Tables'!$B$22*(MAX(W268,0)-IF(Calculator!$B$10="Yes",MIN(MAX(W268,0),'Tax Tables'!$B$27)*'Tax Tables'!$B$28+MIN(MAX(MAX(W268,0)-'Tax Tables'!$B$27,0),'Tax Tables'!$B$29)*'Tax Tables'!$B$30,MIN(MAX(W268,0),'Tax Tables'!$B$23)*'Tax Tables'!$B$24+MIN(MAX(MAX(W268,0)-'Tax Tables'!$B$23,0),'Tax Tables'!$B$25)*'Tax Tables'!$B$26))*Calculator!$B$11,Calculator!$B$12)</f>
        <v>26102.65</v>
      </c>
      <c r="Y268" s="11" t="n">
        <f aca="false">MAX(W268,0)-X268</f>
        <v>229942.35</v>
      </c>
      <c r="Z268" s="11" t="n">
        <f aca="false">MIN(IF(P268&gt;0,Calculator!$B$13,0)+T268+Calculator!$B$14,'Tax Tables'!$B$36)</f>
        <v>20200</v>
      </c>
      <c r="AA268" s="11" t="n">
        <f aca="false">MAX(P268-Z268,0)</f>
        <v>107300</v>
      </c>
      <c r="AB268" s="11" t="n">
        <f aca="false">SUMPRODUCT((AA268&gt;'Tax Tables'!$A$5:$A$17)*(AA268-'Tax Tables'!$A$5:$A$17)*'Tax Tables'!$C$5:$C$17)</f>
        <v>6489.5</v>
      </c>
      <c r="AC268" s="11" t="n">
        <f aca="false">IF(W268&lt;0,-1E+099,P268-T268-AB268+Y268+(T268+U268)*Calculator!$B$9)</f>
        <v>367272.85</v>
      </c>
    </row>
    <row r="269" customFormat="false" ht="15" hidden="false" customHeight="false" outlineLevel="0" collapsed="false">
      <c r="A269" s="11" t="n">
        <f aca="false">256*$B$3</f>
        <v>128000</v>
      </c>
      <c r="B269" s="11" t="n">
        <f aca="false">0</f>
        <v>0</v>
      </c>
      <c r="C269" s="11" t="n">
        <f aca="false">A269-B269</f>
        <v>128000</v>
      </c>
      <c r="D269" s="11" t="n">
        <f aca="false">IF(Calculator!$B$6="Yes",MIN(B269,'Tax Tables'!$B$31*'Tax Tables'!$B$32),0)</f>
        <v>0</v>
      </c>
      <c r="E269" s="11" t="n">
        <f aca="false">D269*Calculator!$B$7</f>
        <v>0</v>
      </c>
      <c r="F269" s="11" t="n">
        <f aca="false">D269*Calculator!$B$8</f>
        <v>0</v>
      </c>
      <c r="G269" s="11" t="n">
        <f aca="false">IF(B269&gt;0,'Tax Tables'!$B$32*MIN(MAX(B269/'Tax Tables'!$B$32*'Tax Tables'!$B$33,'Tax Tables'!$B$34),'Tax Tables'!$B$35),0)</f>
        <v>0</v>
      </c>
      <c r="H269" s="11" t="n">
        <f aca="false">Calculator!$B$5-A269-F269-G269</f>
        <v>272000</v>
      </c>
      <c r="I269" s="11" t="n">
        <f aca="false">'Tax Tables'!$B$22*(MAX(H269,0)-IF(Calculator!$B$10="Yes",MIN(MAX(H269,0),'Tax Tables'!$B$27)*'Tax Tables'!$B$28+MIN(MAX(MAX(H269,0)-'Tax Tables'!$B$27,0),'Tax Tables'!$B$29)*'Tax Tables'!$B$30,MIN(MAX(H269,0),'Tax Tables'!$B$23)*'Tax Tables'!$B$24+MIN(MAX(MAX(H269,0)-'Tax Tables'!$B$23,0),'Tax Tables'!$B$25)*'Tax Tables'!$B$26))*1-MIN('Tax Tables'!$B$22*(MAX(H269,0)-IF(Calculator!$B$10="Yes",MIN(MAX(H269,0),'Tax Tables'!$B$27)*'Tax Tables'!$B$28+MIN(MAX(MAX(H269,0)-'Tax Tables'!$B$27,0),'Tax Tables'!$B$29)*'Tax Tables'!$B$30,MIN(MAX(H269,0),'Tax Tables'!$B$23)*'Tax Tables'!$B$24+MIN(MAX(MAX(H269,0)-'Tax Tables'!$B$23,0),'Tax Tables'!$B$25)*'Tax Tables'!$B$26))*Calculator!$B$11,Calculator!$B$12)</f>
        <v>28815</v>
      </c>
      <c r="J269" s="11" t="n">
        <f aca="false">MAX(H269,0)-I269</f>
        <v>243185</v>
      </c>
      <c r="K269" s="11" t="n">
        <f aca="false">MIN(IF(A269&gt;0,Calculator!$B$13,0)+E269+Calculator!$B$14,'Tax Tables'!$B$36)</f>
        <v>1000</v>
      </c>
      <c r="L269" s="11" t="n">
        <f aca="false">MAX(A269-K269,0)</f>
        <v>127000</v>
      </c>
      <c r="M269" s="11" t="n">
        <f aca="false">SUMPRODUCT((L269&gt;'Tax Tables'!$A$5:$A$17)*(L269-'Tax Tables'!$A$5:$A$17)*'Tax Tables'!$C$5:$C$17)</f>
        <v>9000</v>
      </c>
      <c r="N269" s="11" t="n">
        <f aca="false">IF(H269&lt;0,-1E+099,A269-E269-M269+J269+(E269+F269)*Calculator!$B$9)</f>
        <v>362185</v>
      </c>
      <c r="O269" s="2"/>
      <c r="P269" s="11" t="n">
        <f aca="false">256*$B$3</f>
        <v>128000</v>
      </c>
      <c r="Q269" s="11" t="n">
        <f aca="false">MIN(P269,'Tax Tables'!$B$31*'Tax Tables'!$B$32)</f>
        <v>96000</v>
      </c>
      <c r="R269" s="11" t="n">
        <f aca="false">P269-Q269</f>
        <v>32000</v>
      </c>
      <c r="S269" s="11" t="n">
        <f aca="false">IF(Calculator!$B$6="Yes",MIN(Q269,'Tax Tables'!$B$31*'Tax Tables'!$B$32),0)</f>
        <v>96000</v>
      </c>
      <c r="T269" s="11" t="n">
        <f aca="false">S269*Calculator!$B$7</f>
        <v>19200</v>
      </c>
      <c r="U269" s="11" t="n">
        <f aca="false">S269*Calculator!$B$8</f>
        <v>16320</v>
      </c>
      <c r="V269" s="11" t="n">
        <f aca="false">IF(Q269&gt;0,'Tax Tables'!$B$32*MIN(MAX(Q269/'Tax Tables'!$B$32*'Tax Tables'!$B$33,'Tax Tables'!$B$34),'Tax Tables'!$B$35),0)</f>
        <v>135</v>
      </c>
      <c r="W269" s="11" t="n">
        <f aca="false">Calculator!$B$5-P269-U269-V269</f>
        <v>255545</v>
      </c>
      <c r="X269" s="11" t="n">
        <f aca="false">'Tax Tables'!$B$22*(MAX(W269,0)-IF(Calculator!$B$10="Yes",MIN(MAX(W269,0),'Tax Tables'!$B$27)*'Tax Tables'!$B$28+MIN(MAX(MAX(W269,0)-'Tax Tables'!$B$27,0),'Tax Tables'!$B$29)*'Tax Tables'!$B$30,MIN(MAX(W269,0),'Tax Tables'!$B$23)*'Tax Tables'!$B$24+MIN(MAX(MAX(W269,0)-'Tax Tables'!$B$23,0),'Tax Tables'!$B$25)*'Tax Tables'!$B$26))*1-MIN('Tax Tables'!$B$22*(MAX(W269,0)-IF(Calculator!$B$10="Yes",MIN(MAX(W269,0),'Tax Tables'!$B$27)*'Tax Tables'!$B$28+MIN(MAX(MAX(W269,0)-'Tax Tables'!$B$27,0),'Tax Tables'!$B$29)*'Tax Tables'!$B$30,MIN(MAX(W269,0),'Tax Tables'!$B$23)*'Tax Tables'!$B$24+MIN(MAX(MAX(W269,0)-'Tax Tables'!$B$23,0),'Tax Tables'!$B$25)*'Tax Tables'!$B$26))*Calculator!$B$11,Calculator!$B$12)</f>
        <v>26017.65</v>
      </c>
      <c r="Y269" s="11" t="n">
        <f aca="false">MAX(W269,0)-X269</f>
        <v>229527.35</v>
      </c>
      <c r="Z269" s="11" t="n">
        <f aca="false">MIN(IF(P269&gt;0,Calculator!$B$13,0)+T269+Calculator!$B$14,'Tax Tables'!$B$36)</f>
        <v>20200</v>
      </c>
      <c r="AA269" s="11" t="n">
        <f aca="false">MAX(P269-Z269,0)</f>
        <v>107800</v>
      </c>
      <c r="AB269" s="11" t="n">
        <f aca="false">SUMPRODUCT((AA269&gt;'Tax Tables'!$A$5:$A$17)*(AA269-'Tax Tables'!$A$5:$A$17)*'Tax Tables'!$C$5:$C$17)</f>
        <v>6547</v>
      </c>
      <c r="AC269" s="11" t="n">
        <f aca="false">IF(W269&lt;0,-1E+099,P269-T269-AB269+Y269+(T269+U269)*Calculator!$B$9)</f>
        <v>367300.35</v>
      </c>
    </row>
    <row r="270" customFormat="false" ht="15" hidden="false" customHeight="false" outlineLevel="0" collapsed="false">
      <c r="A270" s="11" t="n">
        <f aca="false">257*$B$3</f>
        <v>128500</v>
      </c>
      <c r="B270" s="11" t="n">
        <f aca="false">0</f>
        <v>0</v>
      </c>
      <c r="C270" s="11" t="n">
        <f aca="false">A270-B270</f>
        <v>128500</v>
      </c>
      <c r="D270" s="11" t="n">
        <f aca="false">IF(Calculator!$B$6="Yes",MIN(B270,'Tax Tables'!$B$31*'Tax Tables'!$B$32),0)</f>
        <v>0</v>
      </c>
      <c r="E270" s="11" t="n">
        <f aca="false">D270*Calculator!$B$7</f>
        <v>0</v>
      </c>
      <c r="F270" s="11" t="n">
        <f aca="false">D270*Calculator!$B$8</f>
        <v>0</v>
      </c>
      <c r="G270" s="11" t="n">
        <f aca="false">IF(B270&gt;0,'Tax Tables'!$B$32*MIN(MAX(B270/'Tax Tables'!$B$32*'Tax Tables'!$B$33,'Tax Tables'!$B$34),'Tax Tables'!$B$35),0)</f>
        <v>0</v>
      </c>
      <c r="H270" s="11" t="n">
        <f aca="false">Calculator!$B$5-A270-F270-G270</f>
        <v>271500</v>
      </c>
      <c r="I270" s="11" t="n">
        <f aca="false">'Tax Tables'!$B$22*(MAX(H270,0)-IF(Calculator!$B$10="Yes",MIN(MAX(H270,0),'Tax Tables'!$B$27)*'Tax Tables'!$B$28+MIN(MAX(MAX(H270,0)-'Tax Tables'!$B$27,0),'Tax Tables'!$B$29)*'Tax Tables'!$B$30,MIN(MAX(H270,0),'Tax Tables'!$B$23)*'Tax Tables'!$B$24+MIN(MAX(MAX(H270,0)-'Tax Tables'!$B$23,0),'Tax Tables'!$B$25)*'Tax Tables'!$B$26))*1-MIN('Tax Tables'!$B$22*(MAX(H270,0)-IF(Calculator!$B$10="Yes",MIN(MAX(H270,0),'Tax Tables'!$B$27)*'Tax Tables'!$B$28+MIN(MAX(MAX(H270,0)-'Tax Tables'!$B$27,0),'Tax Tables'!$B$29)*'Tax Tables'!$B$30,MIN(MAX(H270,0),'Tax Tables'!$B$23)*'Tax Tables'!$B$24+MIN(MAX(MAX(H270,0)-'Tax Tables'!$B$23,0),'Tax Tables'!$B$25)*'Tax Tables'!$B$26))*Calculator!$B$11,Calculator!$B$12)</f>
        <v>28730</v>
      </c>
      <c r="J270" s="11" t="n">
        <f aca="false">MAX(H270,0)-I270</f>
        <v>242770</v>
      </c>
      <c r="K270" s="11" t="n">
        <f aca="false">MIN(IF(A270&gt;0,Calculator!$B$13,0)+E270+Calculator!$B$14,'Tax Tables'!$B$36)</f>
        <v>1000</v>
      </c>
      <c r="L270" s="11" t="n">
        <f aca="false">MAX(A270-K270,0)</f>
        <v>127500</v>
      </c>
      <c r="M270" s="11" t="n">
        <f aca="false">SUMPRODUCT((L270&gt;'Tax Tables'!$A$5:$A$17)*(L270-'Tax Tables'!$A$5:$A$17)*'Tax Tables'!$C$5:$C$17)</f>
        <v>9075</v>
      </c>
      <c r="N270" s="11" t="n">
        <f aca="false">IF(H270&lt;0,-1E+099,A270-E270-M270+J270+(E270+F270)*Calculator!$B$9)</f>
        <v>362195</v>
      </c>
      <c r="O270" s="2"/>
      <c r="P270" s="11" t="n">
        <f aca="false">257*$B$3</f>
        <v>128500</v>
      </c>
      <c r="Q270" s="11" t="n">
        <f aca="false">MIN(P270,'Tax Tables'!$B$31*'Tax Tables'!$B$32)</f>
        <v>96000</v>
      </c>
      <c r="R270" s="11" t="n">
        <f aca="false">P270-Q270</f>
        <v>32500</v>
      </c>
      <c r="S270" s="11" t="n">
        <f aca="false">IF(Calculator!$B$6="Yes",MIN(Q270,'Tax Tables'!$B$31*'Tax Tables'!$B$32),0)</f>
        <v>96000</v>
      </c>
      <c r="T270" s="11" t="n">
        <f aca="false">S270*Calculator!$B$7</f>
        <v>19200</v>
      </c>
      <c r="U270" s="11" t="n">
        <f aca="false">S270*Calculator!$B$8</f>
        <v>16320</v>
      </c>
      <c r="V270" s="11" t="n">
        <f aca="false">IF(Q270&gt;0,'Tax Tables'!$B$32*MIN(MAX(Q270/'Tax Tables'!$B$32*'Tax Tables'!$B$33,'Tax Tables'!$B$34),'Tax Tables'!$B$35),0)</f>
        <v>135</v>
      </c>
      <c r="W270" s="11" t="n">
        <f aca="false">Calculator!$B$5-P270-U270-V270</f>
        <v>255045</v>
      </c>
      <c r="X270" s="11" t="n">
        <f aca="false">'Tax Tables'!$B$22*(MAX(W270,0)-IF(Calculator!$B$10="Yes",MIN(MAX(W270,0),'Tax Tables'!$B$27)*'Tax Tables'!$B$28+MIN(MAX(MAX(W270,0)-'Tax Tables'!$B$27,0),'Tax Tables'!$B$29)*'Tax Tables'!$B$30,MIN(MAX(W270,0),'Tax Tables'!$B$23)*'Tax Tables'!$B$24+MIN(MAX(MAX(W270,0)-'Tax Tables'!$B$23,0),'Tax Tables'!$B$25)*'Tax Tables'!$B$26))*1-MIN('Tax Tables'!$B$22*(MAX(W270,0)-IF(Calculator!$B$10="Yes",MIN(MAX(W270,0),'Tax Tables'!$B$27)*'Tax Tables'!$B$28+MIN(MAX(MAX(W270,0)-'Tax Tables'!$B$27,0),'Tax Tables'!$B$29)*'Tax Tables'!$B$30,MIN(MAX(W270,0),'Tax Tables'!$B$23)*'Tax Tables'!$B$24+MIN(MAX(MAX(W270,0)-'Tax Tables'!$B$23,0),'Tax Tables'!$B$25)*'Tax Tables'!$B$26))*Calculator!$B$11,Calculator!$B$12)</f>
        <v>25932.65</v>
      </c>
      <c r="Y270" s="11" t="n">
        <f aca="false">MAX(W270,0)-X270</f>
        <v>229112.35</v>
      </c>
      <c r="Z270" s="11" t="n">
        <f aca="false">MIN(IF(P270&gt;0,Calculator!$B$13,0)+T270+Calculator!$B$14,'Tax Tables'!$B$36)</f>
        <v>20200</v>
      </c>
      <c r="AA270" s="11" t="n">
        <f aca="false">MAX(P270-Z270,0)</f>
        <v>108300</v>
      </c>
      <c r="AB270" s="11" t="n">
        <f aca="false">SUMPRODUCT((AA270&gt;'Tax Tables'!$A$5:$A$17)*(AA270-'Tax Tables'!$A$5:$A$17)*'Tax Tables'!$C$5:$C$17)</f>
        <v>6604.5</v>
      </c>
      <c r="AC270" s="11" t="n">
        <f aca="false">IF(W270&lt;0,-1E+099,P270-T270-AB270+Y270+(T270+U270)*Calculator!$B$9)</f>
        <v>367327.85</v>
      </c>
    </row>
    <row r="271" customFormat="false" ht="15" hidden="false" customHeight="false" outlineLevel="0" collapsed="false">
      <c r="A271" s="11" t="n">
        <f aca="false">258*$B$3</f>
        <v>129000</v>
      </c>
      <c r="B271" s="11" t="n">
        <f aca="false">0</f>
        <v>0</v>
      </c>
      <c r="C271" s="11" t="n">
        <f aca="false">A271-B271</f>
        <v>129000</v>
      </c>
      <c r="D271" s="11" t="n">
        <f aca="false">IF(Calculator!$B$6="Yes",MIN(B271,'Tax Tables'!$B$31*'Tax Tables'!$B$32),0)</f>
        <v>0</v>
      </c>
      <c r="E271" s="11" t="n">
        <f aca="false">D271*Calculator!$B$7</f>
        <v>0</v>
      </c>
      <c r="F271" s="11" t="n">
        <f aca="false">D271*Calculator!$B$8</f>
        <v>0</v>
      </c>
      <c r="G271" s="11" t="n">
        <f aca="false">IF(B271&gt;0,'Tax Tables'!$B$32*MIN(MAX(B271/'Tax Tables'!$B$32*'Tax Tables'!$B$33,'Tax Tables'!$B$34),'Tax Tables'!$B$35),0)</f>
        <v>0</v>
      </c>
      <c r="H271" s="11" t="n">
        <f aca="false">Calculator!$B$5-A271-F271-G271</f>
        <v>271000</v>
      </c>
      <c r="I271" s="11" t="n">
        <f aca="false">'Tax Tables'!$B$22*(MAX(H271,0)-IF(Calculator!$B$10="Yes",MIN(MAX(H271,0),'Tax Tables'!$B$27)*'Tax Tables'!$B$28+MIN(MAX(MAX(H271,0)-'Tax Tables'!$B$27,0),'Tax Tables'!$B$29)*'Tax Tables'!$B$30,MIN(MAX(H271,0),'Tax Tables'!$B$23)*'Tax Tables'!$B$24+MIN(MAX(MAX(H271,0)-'Tax Tables'!$B$23,0),'Tax Tables'!$B$25)*'Tax Tables'!$B$26))*1-MIN('Tax Tables'!$B$22*(MAX(H271,0)-IF(Calculator!$B$10="Yes",MIN(MAX(H271,0),'Tax Tables'!$B$27)*'Tax Tables'!$B$28+MIN(MAX(MAX(H271,0)-'Tax Tables'!$B$27,0),'Tax Tables'!$B$29)*'Tax Tables'!$B$30,MIN(MAX(H271,0),'Tax Tables'!$B$23)*'Tax Tables'!$B$24+MIN(MAX(MAX(H271,0)-'Tax Tables'!$B$23,0),'Tax Tables'!$B$25)*'Tax Tables'!$B$26))*Calculator!$B$11,Calculator!$B$12)</f>
        <v>28645</v>
      </c>
      <c r="J271" s="11" t="n">
        <f aca="false">MAX(H271,0)-I271</f>
        <v>242355</v>
      </c>
      <c r="K271" s="11" t="n">
        <f aca="false">MIN(IF(A271&gt;0,Calculator!$B$13,0)+E271+Calculator!$B$14,'Tax Tables'!$B$36)</f>
        <v>1000</v>
      </c>
      <c r="L271" s="11" t="n">
        <f aca="false">MAX(A271-K271,0)</f>
        <v>128000</v>
      </c>
      <c r="M271" s="11" t="n">
        <f aca="false">SUMPRODUCT((L271&gt;'Tax Tables'!$A$5:$A$17)*(L271-'Tax Tables'!$A$5:$A$17)*'Tax Tables'!$C$5:$C$17)</f>
        <v>9150</v>
      </c>
      <c r="N271" s="11" t="n">
        <f aca="false">IF(H271&lt;0,-1E+099,A271-E271-M271+J271+(E271+F271)*Calculator!$B$9)</f>
        <v>362205</v>
      </c>
      <c r="O271" s="2"/>
      <c r="P271" s="11" t="n">
        <f aca="false">258*$B$3</f>
        <v>129000</v>
      </c>
      <c r="Q271" s="11" t="n">
        <f aca="false">MIN(P271,'Tax Tables'!$B$31*'Tax Tables'!$B$32)</f>
        <v>96000</v>
      </c>
      <c r="R271" s="11" t="n">
        <f aca="false">P271-Q271</f>
        <v>33000</v>
      </c>
      <c r="S271" s="11" t="n">
        <f aca="false">IF(Calculator!$B$6="Yes",MIN(Q271,'Tax Tables'!$B$31*'Tax Tables'!$B$32),0)</f>
        <v>96000</v>
      </c>
      <c r="T271" s="11" t="n">
        <f aca="false">S271*Calculator!$B$7</f>
        <v>19200</v>
      </c>
      <c r="U271" s="11" t="n">
        <f aca="false">S271*Calculator!$B$8</f>
        <v>16320</v>
      </c>
      <c r="V271" s="11" t="n">
        <f aca="false">IF(Q271&gt;0,'Tax Tables'!$B$32*MIN(MAX(Q271/'Tax Tables'!$B$32*'Tax Tables'!$B$33,'Tax Tables'!$B$34),'Tax Tables'!$B$35),0)</f>
        <v>135</v>
      </c>
      <c r="W271" s="11" t="n">
        <f aca="false">Calculator!$B$5-P271-U271-V271</f>
        <v>254545</v>
      </c>
      <c r="X271" s="11" t="n">
        <f aca="false">'Tax Tables'!$B$22*(MAX(W271,0)-IF(Calculator!$B$10="Yes",MIN(MAX(W271,0),'Tax Tables'!$B$27)*'Tax Tables'!$B$28+MIN(MAX(MAX(W271,0)-'Tax Tables'!$B$27,0),'Tax Tables'!$B$29)*'Tax Tables'!$B$30,MIN(MAX(W271,0),'Tax Tables'!$B$23)*'Tax Tables'!$B$24+MIN(MAX(MAX(W271,0)-'Tax Tables'!$B$23,0),'Tax Tables'!$B$25)*'Tax Tables'!$B$26))*1-MIN('Tax Tables'!$B$22*(MAX(W271,0)-IF(Calculator!$B$10="Yes",MIN(MAX(W271,0),'Tax Tables'!$B$27)*'Tax Tables'!$B$28+MIN(MAX(MAX(W271,0)-'Tax Tables'!$B$27,0),'Tax Tables'!$B$29)*'Tax Tables'!$B$30,MIN(MAX(W271,0),'Tax Tables'!$B$23)*'Tax Tables'!$B$24+MIN(MAX(MAX(W271,0)-'Tax Tables'!$B$23,0),'Tax Tables'!$B$25)*'Tax Tables'!$B$26))*Calculator!$B$11,Calculator!$B$12)</f>
        <v>25847.65</v>
      </c>
      <c r="Y271" s="11" t="n">
        <f aca="false">MAX(W271,0)-X271</f>
        <v>228697.35</v>
      </c>
      <c r="Z271" s="11" t="n">
        <f aca="false">MIN(IF(P271&gt;0,Calculator!$B$13,0)+T271+Calculator!$B$14,'Tax Tables'!$B$36)</f>
        <v>20200</v>
      </c>
      <c r="AA271" s="11" t="n">
        <f aca="false">MAX(P271-Z271,0)</f>
        <v>108800</v>
      </c>
      <c r="AB271" s="11" t="n">
        <f aca="false">SUMPRODUCT((AA271&gt;'Tax Tables'!$A$5:$A$17)*(AA271-'Tax Tables'!$A$5:$A$17)*'Tax Tables'!$C$5:$C$17)</f>
        <v>6662</v>
      </c>
      <c r="AC271" s="11" t="n">
        <f aca="false">IF(W271&lt;0,-1E+099,P271-T271-AB271+Y271+(T271+U271)*Calculator!$B$9)</f>
        <v>367355.35</v>
      </c>
    </row>
    <row r="272" customFormat="false" ht="15" hidden="false" customHeight="false" outlineLevel="0" collapsed="false">
      <c r="A272" s="11" t="n">
        <f aca="false">259*$B$3</f>
        <v>129500</v>
      </c>
      <c r="B272" s="11" t="n">
        <f aca="false">0</f>
        <v>0</v>
      </c>
      <c r="C272" s="11" t="n">
        <f aca="false">A272-B272</f>
        <v>129500</v>
      </c>
      <c r="D272" s="11" t="n">
        <f aca="false">IF(Calculator!$B$6="Yes",MIN(B272,'Tax Tables'!$B$31*'Tax Tables'!$B$32),0)</f>
        <v>0</v>
      </c>
      <c r="E272" s="11" t="n">
        <f aca="false">D272*Calculator!$B$7</f>
        <v>0</v>
      </c>
      <c r="F272" s="11" t="n">
        <f aca="false">D272*Calculator!$B$8</f>
        <v>0</v>
      </c>
      <c r="G272" s="11" t="n">
        <f aca="false">IF(B272&gt;0,'Tax Tables'!$B$32*MIN(MAX(B272/'Tax Tables'!$B$32*'Tax Tables'!$B$33,'Tax Tables'!$B$34),'Tax Tables'!$B$35),0)</f>
        <v>0</v>
      </c>
      <c r="H272" s="11" t="n">
        <f aca="false">Calculator!$B$5-A272-F272-G272</f>
        <v>270500</v>
      </c>
      <c r="I272" s="11" t="n">
        <f aca="false">'Tax Tables'!$B$22*(MAX(H272,0)-IF(Calculator!$B$10="Yes",MIN(MAX(H272,0),'Tax Tables'!$B$27)*'Tax Tables'!$B$28+MIN(MAX(MAX(H272,0)-'Tax Tables'!$B$27,0),'Tax Tables'!$B$29)*'Tax Tables'!$B$30,MIN(MAX(H272,0),'Tax Tables'!$B$23)*'Tax Tables'!$B$24+MIN(MAX(MAX(H272,0)-'Tax Tables'!$B$23,0),'Tax Tables'!$B$25)*'Tax Tables'!$B$26))*1-MIN('Tax Tables'!$B$22*(MAX(H272,0)-IF(Calculator!$B$10="Yes",MIN(MAX(H272,0),'Tax Tables'!$B$27)*'Tax Tables'!$B$28+MIN(MAX(MAX(H272,0)-'Tax Tables'!$B$27,0),'Tax Tables'!$B$29)*'Tax Tables'!$B$30,MIN(MAX(H272,0),'Tax Tables'!$B$23)*'Tax Tables'!$B$24+MIN(MAX(MAX(H272,0)-'Tax Tables'!$B$23,0),'Tax Tables'!$B$25)*'Tax Tables'!$B$26))*Calculator!$B$11,Calculator!$B$12)</f>
        <v>28560</v>
      </c>
      <c r="J272" s="11" t="n">
        <f aca="false">MAX(H272,0)-I272</f>
        <v>241940</v>
      </c>
      <c r="K272" s="11" t="n">
        <f aca="false">MIN(IF(A272&gt;0,Calculator!$B$13,0)+E272+Calculator!$B$14,'Tax Tables'!$B$36)</f>
        <v>1000</v>
      </c>
      <c r="L272" s="11" t="n">
        <f aca="false">MAX(A272-K272,0)</f>
        <v>128500</v>
      </c>
      <c r="M272" s="11" t="n">
        <f aca="false">SUMPRODUCT((L272&gt;'Tax Tables'!$A$5:$A$17)*(L272-'Tax Tables'!$A$5:$A$17)*'Tax Tables'!$C$5:$C$17)</f>
        <v>9225</v>
      </c>
      <c r="N272" s="11" t="n">
        <f aca="false">IF(H272&lt;0,-1E+099,A272-E272-M272+J272+(E272+F272)*Calculator!$B$9)</f>
        <v>362215</v>
      </c>
      <c r="O272" s="2"/>
      <c r="P272" s="11" t="n">
        <f aca="false">259*$B$3</f>
        <v>129500</v>
      </c>
      <c r="Q272" s="11" t="n">
        <f aca="false">MIN(P272,'Tax Tables'!$B$31*'Tax Tables'!$B$32)</f>
        <v>96000</v>
      </c>
      <c r="R272" s="11" t="n">
        <f aca="false">P272-Q272</f>
        <v>33500</v>
      </c>
      <c r="S272" s="11" t="n">
        <f aca="false">IF(Calculator!$B$6="Yes",MIN(Q272,'Tax Tables'!$B$31*'Tax Tables'!$B$32),0)</f>
        <v>96000</v>
      </c>
      <c r="T272" s="11" t="n">
        <f aca="false">S272*Calculator!$B$7</f>
        <v>19200</v>
      </c>
      <c r="U272" s="11" t="n">
        <f aca="false">S272*Calculator!$B$8</f>
        <v>16320</v>
      </c>
      <c r="V272" s="11" t="n">
        <f aca="false">IF(Q272&gt;0,'Tax Tables'!$B$32*MIN(MAX(Q272/'Tax Tables'!$B$32*'Tax Tables'!$B$33,'Tax Tables'!$B$34),'Tax Tables'!$B$35),0)</f>
        <v>135</v>
      </c>
      <c r="W272" s="11" t="n">
        <f aca="false">Calculator!$B$5-P272-U272-V272</f>
        <v>254045</v>
      </c>
      <c r="X272" s="11" t="n">
        <f aca="false">'Tax Tables'!$B$22*(MAX(W272,0)-IF(Calculator!$B$10="Yes",MIN(MAX(W272,0),'Tax Tables'!$B$27)*'Tax Tables'!$B$28+MIN(MAX(MAX(W272,0)-'Tax Tables'!$B$27,0),'Tax Tables'!$B$29)*'Tax Tables'!$B$30,MIN(MAX(W272,0),'Tax Tables'!$B$23)*'Tax Tables'!$B$24+MIN(MAX(MAX(W272,0)-'Tax Tables'!$B$23,0),'Tax Tables'!$B$25)*'Tax Tables'!$B$26))*1-MIN('Tax Tables'!$B$22*(MAX(W272,0)-IF(Calculator!$B$10="Yes",MIN(MAX(W272,0),'Tax Tables'!$B$27)*'Tax Tables'!$B$28+MIN(MAX(MAX(W272,0)-'Tax Tables'!$B$27,0),'Tax Tables'!$B$29)*'Tax Tables'!$B$30,MIN(MAX(W272,0),'Tax Tables'!$B$23)*'Tax Tables'!$B$24+MIN(MAX(MAX(W272,0)-'Tax Tables'!$B$23,0),'Tax Tables'!$B$25)*'Tax Tables'!$B$26))*Calculator!$B$11,Calculator!$B$12)</f>
        <v>25762.65</v>
      </c>
      <c r="Y272" s="11" t="n">
        <f aca="false">MAX(W272,0)-X272</f>
        <v>228282.35</v>
      </c>
      <c r="Z272" s="11" t="n">
        <f aca="false">MIN(IF(P272&gt;0,Calculator!$B$13,0)+T272+Calculator!$B$14,'Tax Tables'!$B$36)</f>
        <v>20200</v>
      </c>
      <c r="AA272" s="11" t="n">
        <f aca="false">MAX(P272-Z272,0)</f>
        <v>109300</v>
      </c>
      <c r="AB272" s="11" t="n">
        <f aca="false">SUMPRODUCT((AA272&gt;'Tax Tables'!$A$5:$A$17)*(AA272-'Tax Tables'!$A$5:$A$17)*'Tax Tables'!$C$5:$C$17)</f>
        <v>6719.5</v>
      </c>
      <c r="AC272" s="11" t="n">
        <f aca="false">IF(W272&lt;0,-1E+099,P272-T272-AB272+Y272+(T272+U272)*Calculator!$B$9)</f>
        <v>367382.85</v>
      </c>
    </row>
    <row r="273" customFormat="false" ht="15" hidden="false" customHeight="false" outlineLevel="0" collapsed="false">
      <c r="A273" s="11" t="n">
        <f aca="false">260*$B$3</f>
        <v>130000</v>
      </c>
      <c r="B273" s="11" t="n">
        <f aca="false">0</f>
        <v>0</v>
      </c>
      <c r="C273" s="11" t="n">
        <f aca="false">A273-B273</f>
        <v>130000</v>
      </c>
      <c r="D273" s="11" t="n">
        <f aca="false">IF(Calculator!$B$6="Yes",MIN(B273,'Tax Tables'!$B$31*'Tax Tables'!$B$32),0)</f>
        <v>0</v>
      </c>
      <c r="E273" s="11" t="n">
        <f aca="false">D273*Calculator!$B$7</f>
        <v>0</v>
      </c>
      <c r="F273" s="11" t="n">
        <f aca="false">D273*Calculator!$B$8</f>
        <v>0</v>
      </c>
      <c r="G273" s="11" t="n">
        <f aca="false">IF(B273&gt;0,'Tax Tables'!$B$32*MIN(MAX(B273/'Tax Tables'!$B$32*'Tax Tables'!$B$33,'Tax Tables'!$B$34),'Tax Tables'!$B$35),0)</f>
        <v>0</v>
      </c>
      <c r="H273" s="11" t="n">
        <f aca="false">Calculator!$B$5-A273-F273-G273</f>
        <v>270000</v>
      </c>
      <c r="I273" s="11" t="n">
        <f aca="false">'Tax Tables'!$B$22*(MAX(H273,0)-IF(Calculator!$B$10="Yes",MIN(MAX(H273,0),'Tax Tables'!$B$27)*'Tax Tables'!$B$28+MIN(MAX(MAX(H273,0)-'Tax Tables'!$B$27,0),'Tax Tables'!$B$29)*'Tax Tables'!$B$30,MIN(MAX(H273,0),'Tax Tables'!$B$23)*'Tax Tables'!$B$24+MIN(MAX(MAX(H273,0)-'Tax Tables'!$B$23,0),'Tax Tables'!$B$25)*'Tax Tables'!$B$26))*1-MIN('Tax Tables'!$B$22*(MAX(H273,0)-IF(Calculator!$B$10="Yes",MIN(MAX(H273,0),'Tax Tables'!$B$27)*'Tax Tables'!$B$28+MIN(MAX(MAX(H273,0)-'Tax Tables'!$B$27,0),'Tax Tables'!$B$29)*'Tax Tables'!$B$30,MIN(MAX(H273,0),'Tax Tables'!$B$23)*'Tax Tables'!$B$24+MIN(MAX(MAX(H273,0)-'Tax Tables'!$B$23,0),'Tax Tables'!$B$25)*'Tax Tables'!$B$26))*Calculator!$B$11,Calculator!$B$12)</f>
        <v>28475</v>
      </c>
      <c r="J273" s="11" t="n">
        <f aca="false">MAX(H273,0)-I273</f>
        <v>241525</v>
      </c>
      <c r="K273" s="11" t="n">
        <f aca="false">MIN(IF(A273&gt;0,Calculator!$B$13,0)+E273+Calculator!$B$14,'Tax Tables'!$B$36)</f>
        <v>1000</v>
      </c>
      <c r="L273" s="11" t="n">
        <f aca="false">MAX(A273-K273,0)</f>
        <v>129000</v>
      </c>
      <c r="M273" s="11" t="n">
        <f aca="false">SUMPRODUCT((L273&gt;'Tax Tables'!$A$5:$A$17)*(L273-'Tax Tables'!$A$5:$A$17)*'Tax Tables'!$C$5:$C$17)</f>
        <v>9300</v>
      </c>
      <c r="N273" s="11" t="n">
        <f aca="false">IF(H273&lt;0,-1E+099,A273-E273-M273+J273+(E273+F273)*Calculator!$B$9)</f>
        <v>362225</v>
      </c>
      <c r="O273" s="2"/>
      <c r="P273" s="11" t="n">
        <f aca="false">260*$B$3</f>
        <v>130000</v>
      </c>
      <c r="Q273" s="11" t="n">
        <f aca="false">MIN(P273,'Tax Tables'!$B$31*'Tax Tables'!$B$32)</f>
        <v>96000</v>
      </c>
      <c r="R273" s="11" t="n">
        <f aca="false">P273-Q273</f>
        <v>34000</v>
      </c>
      <c r="S273" s="11" t="n">
        <f aca="false">IF(Calculator!$B$6="Yes",MIN(Q273,'Tax Tables'!$B$31*'Tax Tables'!$B$32),0)</f>
        <v>96000</v>
      </c>
      <c r="T273" s="11" t="n">
        <f aca="false">S273*Calculator!$B$7</f>
        <v>19200</v>
      </c>
      <c r="U273" s="11" t="n">
        <f aca="false">S273*Calculator!$B$8</f>
        <v>16320</v>
      </c>
      <c r="V273" s="11" t="n">
        <f aca="false">IF(Q273&gt;0,'Tax Tables'!$B$32*MIN(MAX(Q273/'Tax Tables'!$B$32*'Tax Tables'!$B$33,'Tax Tables'!$B$34),'Tax Tables'!$B$35),0)</f>
        <v>135</v>
      </c>
      <c r="W273" s="11" t="n">
        <f aca="false">Calculator!$B$5-P273-U273-V273</f>
        <v>253545</v>
      </c>
      <c r="X273" s="11" t="n">
        <f aca="false">'Tax Tables'!$B$22*(MAX(W273,0)-IF(Calculator!$B$10="Yes",MIN(MAX(W273,0),'Tax Tables'!$B$27)*'Tax Tables'!$B$28+MIN(MAX(MAX(W273,0)-'Tax Tables'!$B$27,0),'Tax Tables'!$B$29)*'Tax Tables'!$B$30,MIN(MAX(W273,0),'Tax Tables'!$B$23)*'Tax Tables'!$B$24+MIN(MAX(MAX(W273,0)-'Tax Tables'!$B$23,0),'Tax Tables'!$B$25)*'Tax Tables'!$B$26))*1-MIN('Tax Tables'!$B$22*(MAX(W273,0)-IF(Calculator!$B$10="Yes",MIN(MAX(W273,0),'Tax Tables'!$B$27)*'Tax Tables'!$B$28+MIN(MAX(MAX(W273,0)-'Tax Tables'!$B$27,0),'Tax Tables'!$B$29)*'Tax Tables'!$B$30,MIN(MAX(W273,0),'Tax Tables'!$B$23)*'Tax Tables'!$B$24+MIN(MAX(MAX(W273,0)-'Tax Tables'!$B$23,0),'Tax Tables'!$B$25)*'Tax Tables'!$B$26))*Calculator!$B$11,Calculator!$B$12)</f>
        <v>25677.65</v>
      </c>
      <c r="Y273" s="11" t="n">
        <f aca="false">MAX(W273,0)-X273</f>
        <v>227867.35</v>
      </c>
      <c r="Z273" s="11" t="n">
        <f aca="false">MIN(IF(P273&gt;0,Calculator!$B$13,0)+T273+Calculator!$B$14,'Tax Tables'!$B$36)</f>
        <v>20200</v>
      </c>
      <c r="AA273" s="11" t="n">
        <f aca="false">MAX(P273-Z273,0)</f>
        <v>109800</v>
      </c>
      <c r="AB273" s="11" t="n">
        <f aca="false">SUMPRODUCT((AA273&gt;'Tax Tables'!$A$5:$A$17)*(AA273-'Tax Tables'!$A$5:$A$17)*'Tax Tables'!$C$5:$C$17)</f>
        <v>6777</v>
      </c>
      <c r="AC273" s="11" t="n">
        <f aca="false">IF(W273&lt;0,-1E+099,P273-T273-AB273+Y273+(T273+U273)*Calculator!$B$9)</f>
        <v>367410.35</v>
      </c>
    </row>
    <row r="274" customFormat="false" ht="15" hidden="false" customHeight="false" outlineLevel="0" collapsed="false">
      <c r="A274" s="11" t="n">
        <f aca="false">261*$B$3</f>
        <v>130500</v>
      </c>
      <c r="B274" s="11" t="n">
        <f aca="false">0</f>
        <v>0</v>
      </c>
      <c r="C274" s="11" t="n">
        <f aca="false">A274-B274</f>
        <v>130500</v>
      </c>
      <c r="D274" s="11" t="n">
        <f aca="false">IF(Calculator!$B$6="Yes",MIN(B274,'Tax Tables'!$B$31*'Tax Tables'!$B$32),0)</f>
        <v>0</v>
      </c>
      <c r="E274" s="11" t="n">
        <f aca="false">D274*Calculator!$B$7</f>
        <v>0</v>
      </c>
      <c r="F274" s="11" t="n">
        <f aca="false">D274*Calculator!$B$8</f>
        <v>0</v>
      </c>
      <c r="G274" s="11" t="n">
        <f aca="false">IF(B274&gt;0,'Tax Tables'!$B$32*MIN(MAX(B274/'Tax Tables'!$B$32*'Tax Tables'!$B$33,'Tax Tables'!$B$34),'Tax Tables'!$B$35),0)</f>
        <v>0</v>
      </c>
      <c r="H274" s="11" t="n">
        <f aca="false">Calculator!$B$5-A274-F274-G274</f>
        <v>269500</v>
      </c>
      <c r="I274" s="11" t="n">
        <f aca="false">'Tax Tables'!$B$22*(MAX(H274,0)-IF(Calculator!$B$10="Yes",MIN(MAX(H274,0),'Tax Tables'!$B$27)*'Tax Tables'!$B$28+MIN(MAX(MAX(H274,0)-'Tax Tables'!$B$27,0),'Tax Tables'!$B$29)*'Tax Tables'!$B$30,MIN(MAX(H274,0),'Tax Tables'!$B$23)*'Tax Tables'!$B$24+MIN(MAX(MAX(H274,0)-'Tax Tables'!$B$23,0),'Tax Tables'!$B$25)*'Tax Tables'!$B$26))*1-MIN('Tax Tables'!$B$22*(MAX(H274,0)-IF(Calculator!$B$10="Yes",MIN(MAX(H274,0),'Tax Tables'!$B$27)*'Tax Tables'!$B$28+MIN(MAX(MAX(H274,0)-'Tax Tables'!$B$27,0),'Tax Tables'!$B$29)*'Tax Tables'!$B$30,MIN(MAX(H274,0),'Tax Tables'!$B$23)*'Tax Tables'!$B$24+MIN(MAX(MAX(H274,0)-'Tax Tables'!$B$23,0),'Tax Tables'!$B$25)*'Tax Tables'!$B$26))*Calculator!$B$11,Calculator!$B$12)</f>
        <v>28390</v>
      </c>
      <c r="J274" s="11" t="n">
        <f aca="false">MAX(H274,0)-I274</f>
        <v>241110</v>
      </c>
      <c r="K274" s="11" t="n">
        <f aca="false">MIN(IF(A274&gt;0,Calculator!$B$13,0)+E274+Calculator!$B$14,'Tax Tables'!$B$36)</f>
        <v>1000</v>
      </c>
      <c r="L274" s="11" t="n">
        <f aca="false">MAX(A274-K274,0)</f>
        <v>129500</v>
      </c>
      <c r="M274" s="11" t="n">
        <f aca="false">SUMPRODUCT((L274&gt;'Tax Tables'!$A$5:$A$17)*(L274-'Tax Tables'!$A$5:$A$17)*'Tax Tables'!$C$5:$C$17)</f>
        <v>9375</v>
      </c>
      <c r="N274" s="11" t="n">
        <f aca="false">IF(H274&lt;0,-1E+099,A274-E274-M274+J274+(E274+F274)*Calculator!$B$9)</f>
        <v>362235</v>
      </c>
      <c r="O274" s="2"/>
      <c r="P274" s="11" t="n">
        <f aca="false">261*$B$3</f>
        <v>130500</v>
      </c>
      <c r="Q274" s="11" t="n">
        <f aca="false">MIN(P274,'Tax Tables'!$B$31*'Tax Tables'!$B$32)</f>
        <v>96000</v>
      </c>
      <c r="R274" s="11" t="n">
        <f aca="false">P274-Q274</f>
        <v>34500</v>
      </c>
      <c r="S274" s="11" t="n">
        <f aca="false">IF(Calculator!$B$6="Yes",MIN(Q274,'Tax Tables'!$B$31*'Tax Tables'!$B$32),0)</f>
        <v>96000</v>
      </c>
      <c r="T274" s="11" t="n">
        <f aca="false">S274*Calculator!$B$7</f>
        <v>19200</v>
      </c>
      <c r="U274" s="11" t="n">
        <f aca="false">S274*Calculator!$B$8</f>
        <v>16320</v>
      </c>
      <c r="V274" s="11" t="n">
        <f aca="false">IF(Q274&gt;0,'Tax Tables'!$B$32*MIN(MAX(Q274/'Tax Tables'!$B$32*'Tax Tables'!$B$33,'Tax Tables'!$B$34),'Tax Tables'!$B$35),0)</f>
        <v>135</v>
      </c>
      <c r="W274" s="11" t="n">
        <f aca="false">Calculator!$B$5-P274-U274-V274</f>
        <v>253045</v>
      </c>
      <c r="X274" s="11" t="n">
        <f aca="false">'Tax Tables'!$B$22*(MAX(W274,0)-IF(Calculator!$B$10="Yes",MIN(MAX(W274,0),'Tax Tables'!$B$27)*'Tax Tables'!$B$28+MIN(MAX(MAX(W274,0)-'Tax Tables'!$B$27,0),'Tax Tables'!$B$29)*'Tax Tables'!$B$30,MIN(MAX(W274,0),'Tax Tables'!$B$23)*'Tax Tables'!$B$24+MIN(MAX(MAX(W274,0)-'Tax Tables'!$B$23,0),'Tax Tables'!$B$25)*'Tax Tables'!$B$26))*1-MIN('Tax Tables'!$B$22*(MAX(W274,0)-IF(Calculator!$B$10="Yes",MIN(MAX(W274,0),'Tax Tables'!$B$27)*'Tax Tables'!$B$28+MIN(MAX(MAX(W274,0)-'Tax Tables'!$B$27,0),'Tax Tables'!$B$29)*'Tax Tables'!$B$30,MIN(MAX(W274,0),'Tax Tables'!$B$23)*'Tax Tables'!$B$24+MIN(MAX(MAX(W274,0)-'Tax Tables'!$B$23,0),'Tax Tables'!$B$25)*'Tax Tables'!$B$26))*Calculator!$B$11,Calculator!$B$12)</f>
        <v>25592.65</v>
      </c>
      <c r="Y274" s="11" t="n">
        <f aca="false">MAX(W274,0)-X274</f>
        <v>227452.35</v>
      </c>
      <c r="Z274" s="11" t="n">
        <f aca="false">MIN(IF(P274&gt;0,Calculator!$B$13,0)+T274+Calculator!$B$14,'Tax Tables'!$B$36)</f>
        <v>20200</v>
      </c>
      <c r="AA274" s="11" t="n">
        <f aca="false">MAX(P274-Z274,0)</f>
        <v>110300</v>
      </c>
      <c r="AB274" s="11" t="n">
        <f aca="false">SUMPRODUCT((AA274&gt;'Tax Tables'!$A$5:$A$17)*(AA274-'Tax Tables'!$A$5:$A$17)*'Tax Tables'!$C$5:$C$17)</f>
        <v>6834.5</v>
      </c>
      <c r="AC274" s="11" t="n">
        <f aca="false">IF(W274&lt;0,-1E+099,P274-T274-AB274+Y274+(T274+U274)*Calculator!$B$9)</f>
        <v>367437.85</v>
      </c>
    </row>
    <row r="275" customFormat="false" ht="15" hidden="false" customHeight="false" outlineLevel="0" collapsed="false">
      <c r="A275" s="11" t="n">
        <f aca="false">262*$B$3</f>
        <v>131000</v>
      </c>
      <c r="B275" s="11" t="n">
        <f aca="false">0</f>
        <v>0</v>
      </c>
      <c r="C275" s="11" t="n">
        <f aca="false">A275-B275</f>
        <v>131000</v>
      </c>
      <c r="D275" s="11" t="n">
        <f aca="false">IF(Calculator!$B$6="Yes",MIN(B275,'Tax Tables'!$B$31*'Tax Tables'!$B$32),0)</f>
        <v>0</v>
      </c>
      <c r="E275" s="11" t="n">
        <f aca="false">D275*Calculator!$B$7</f>
        <v>0</v>
      </c>
      <c r="F275" s="11" t="n">
        <f aca="false">D275*Calculator!$B$8</f>
        <v>0</v>
      </c>
      <c r="G275" s="11" t="n">
        <f aca="false">IF(B275&gt;0,'Tax Tables'!$B$32*MIN(MAX(B275/'Tax Tables'!$B$32*'Tax Tables'!$B$33,'Tax Tables'!$B$34),'Tax Tables'!$B$35),0)</f>
        <v>0</v>
      </c>
      <c r="H275" s="11" t="n">
        <f aca="false">Calculator!$B$5-A275-F275-G275</f>
        <v>269000</v>
      </c>
      <c r="I275" s="11" t="n">
        <f aca="false">'Tax Tables'!$B$22*(MAX(H275,0)-IF(Calculator!$B$10="Yes",MIN(MAX(H275,0),'Tax Tables'!$B$27)*'Tax Tables'!$B$28+MIN(MAX(MAX(H275,0)-'Tax Tables'!$B$27,0),'Tax Tables'!$B$29)*'Tax Tables'!$B$30,MIN(MAX(H275,0),'Tax Tables'!$B$23)*'Tax Tables'!$B$24+MIN(MAX(MAX(H275,0)-'Tax Tables'!$B$23,0),'Tax Tables'!$B$25)*'Tax Tables'!$B$26))*1-MIN('Tax Tables'!$B$22*(MAX(H275,0)-IF(Calculator!$B$10="Yes",MIN(MAX(H275,0),'Tax Tables'!$B$27)*'Tax Tables'!$B$28+MIN(MAX(MAX(H275,0)-'Tax Tables'!$B$27,0),'Tax Tables'!$B$29)*'Tax Tables'!$B$30,MIN(MAX(H275,0),'Tax Tables'!$B$23)*'Tax Tables'!$B$24+MIN(MAX(MAX(H275,0)-'Tax Tables'!$B$23,0),'Tax Tables'!$B$25)*'Tax Tables'!$B$26))*Calculator!$B$11,Calculator!$B$12)</f>
        <v>28305</v>
      </c>
      <c r="J275" s="11" t="n">
        <f aca="false">MAX(H275,0)-I275</f>
        <v>240695</v>
      </c>
      <c r="K275" s="11" t="n">
        <f aca="false">MIN(IF(A275&gt;0,Calculator!$B$13,0)+E275+Calculator!$B$14,'Tax Tables'!$B$36)</f>
        <v>1000</v>
      </c>
      <c r="L275" s="11" t="n">
        <f aca="false">MAX(A275-K275,0)</f>
        <v>130000</v>
      </c>
      <c r="M275" s="11" t="n">
        <f aca="false">SUMPRODUCT((L275&gt;'Tax Tables'!$A$5:$A$17)*(L275-'Tax Tables'!$A$5:$A$17)*'Tax Tables'!$C$5:$C$17)</f>
        <v>9450</v>
      </c>
      <c r="N275" s="11" t="n">
        <f aca="false">IF(H275&lt;0,-1E+099,A275-E275-M275+J275+(E275+F275)*Calculator!$B$9)</f>
        <v>362245</v>
      </c>
      <c r="O275" s="2"/>
      <c r="P275" s="11" t="n">
        <f aca="false">262*$B$3</f>
        <v>131000</v>
      </c>
      <c r="Q275" s="11" t="n">
        <f aca="false">MIN(P275,'Tax Tables'!$B$31*'Tax Tables'!$B$32)</f>
        <v>96000</v>
      </c>
      <c r="R275" s="11" t="n">
        <f aca="false">P275-Q275</f>
        <v>35000</v>
      </c>
      <c r="S275" s="11" t="n">
        <f aca="false">IF(Calculator!$B$6="Yes",MIN(Q275,'Tax Tables'!$B$31*'Tax Tables'!$B$32),0)</f>
        <v>96000</v>
      </c>
      <c r="T275" s="11" t="n">
        <f aca="false">S275*Calculator!$B$7</f>
        <v>19200</v>
      </c>
      <c r="U275" s="11" t="n">
        <f aca="false">S275*Calculator!$B$8</f>
        <v>16320</v>
      </c>
      <c r="V275" s="11" t="n">
        <f aca="false">IF(Q275&gt;0,'Tax Tables'!$B$32*MIN(MAX(Q275/'Tax Tables'!$B$32*'Tax Tables'!$B$33,'Tax Tables'!$B$34),'Tax Tables'!$B$35),0)</f>
        <v>135</v>
      </c>
      <c r="W275" s="11" t="n">
        <f aca="false">Calculator!$B$5-P275-U275-V275</f>
        <v>252545</v>
      </c>
      <c r="X275" s="11" t="n">
        <f aca="false">'Tax Tables'!$B$22*(MAX(W275,0)-IF(Calculator!$B$10="Yes",MIN(MAX(W275,0),'Tax Tables'!$B$27)*'Tax Tables'!$B$28+MIN(MAX(MAX(W275,0)-'Tax Tables'!$B$27,0),'Tax Tables'!$B$29)*'Tax Tables'!$B$30,MIN(MAX(W275,0),'Tax Tables'!$B$23)*'Tax Tables'!$B$24+MIN(MAX(MAX(W275,0)-'Tax Tables'!$B$23,0),'Tax Tables'!$B$25)*'Tax Tables'!$B$26))*1-MIN('Tax Tables'!$B$22*(MAX(W275,0)-IF(Calculator!$B$10="Yes",MIN(MAX(W275,0),'Tax Tables'!$B$27)*'Tax Tables'!$B$28+MIN(MAX(MAX(W275,0)-'Tax Tables'!$B$27,0),'Tax Tables'!$B$29)*'Tax Tables'!$B$30,MIN(MAX(W275,0),'Tax Tables'!$B$23)*'Tax Tables'!$B$24+MIN(MAX(MAX(W275,0)-'Tax Tables'!$B$23,0),'Tax Tables'!$B$25)*'Tax Tables'!$B$26))*Calculator!$B$11,Calculator!$B$12)</f>
        <v>25507.65</v>
      </c>
      <c r="Y275" s="11" t="n">
        <f aca="false">MAX(W275,0)-X275</f>
        <v>227037.35</v>
      </c>
      <c r="Z275" s="11" t="n">
        <f aca="false">MIN(IF(P275&gt;0,Calculator!$B$13,0)+T275+Calculator!$B$14,'Tax Tables'!$B$36)</f>
        <v>20200</v>
      </c>
      <c r="AA275" s="11" t="n">
        <f aca="false">MAX(P275-Z275,0)</f>
        <v>110800</v>
      </c>
      <c r="AB275" s="11" t="n">
        <f aca="false">SUMPRODUCT((AA275&gt;'Tax Tables'!$A$5:$A$17)*(AA275-'Tax Tables'!$A$5:$A$17)*'Tax Tables'!$C$5:$C$17)</f>
        <v>6892</v>
      </c>
      <c r="AC275" s="11" t="n">
        <f aca="false">IF(W275&lt;0,-1E+099,P275-T275-AB275+Y275+(T275+U275)*Calculator!$B$9)</f>
        <v>367465.35</v>
      </c>
    </row>
    <row r="276" customFormat="false" ht="15" hidden="false" customHeight="false" outlineLevel="0" collapsed="false">
      <c r="A276" s="11" t="n">
        <f aca="false">263*$B$3</f>
        <v>131500</v>
      </c>
      <c r="B276" s="11" t="n">
        <f aca="false">0</f>
        <v>0</v>
      </c>
      <c r="C276" s="11" t="n">
        <f aca="false">A276-B276</f>
        <v>131500</v>
      </c>
      <c r="D276" s="11" t="n">
        <f aca="false">IF(Calculator!$B$6="Yes",MIN(B276,'Tax Tables'!$B$31*'Tax Tables'!$B$32),0)</f>
        <v>0</v>
      </c>
      <c r="E276" s="11" t="n">
        <f aca="false">D276*Calculator!$B$7</f>
        <v>0</v>
      </c>
      <c r="F276" s="11" t="n">
        <f aca="false">D276*Calculator!$B$8</f>
        <v>0</v>
      </c>
      <c r="G276" s="11" t="n">
        <f aca="false">IF(B276&gt;0,'Tax Tables'!$B$32*MIN(MAX(B276/'Tax Tables'!$B$32*'Tax Tables'!$B$33,'Tax Tables'!$B$34),'Tax Tables'!$B$35),0)</f>
        <v>0</v>
      </c>
      <c r="H276" s="11" t="n">
        <f aca="false">Calculator!$B$5-A276-F276-G276</f>
        <v>268500</v>
      </c>
      <c r="I276" s="11" t="n">
        <f aca="false">'Tax Tables'!$B$22*(MAX(H276,0)-IF(Calculator!$B$10="Yes",MIN(MAX(H276,0),'Tax Tables'!$B$27)*'Tax Tables'!$B$28+MIN(MAX(MAX(H276,0)-'Tax Tables'!$B$27,0),'Tax Tables'!$B$29)*'Tax Tables'!$B$30,MIN(MAX(H276,0),'Tax Tables'!$B$23)*'Tax Tables'!$B$24+MIN(MAX(MAX(H276,0)-'Tax Tables'!$B$23,0),'Tax Tables'!$B$25)*'Tax Tables'!$B$26))*1-MIN('Tax Tables'!$B$22*(MAX(H276,0)-IF(Calculator!$B$10="Yes",MIN(MAX(H276,0),'Tax Tables'!$B$27)*'Tax Tables'!$B$28+MIN(MAX(MAX(H276,0)-'Tax Tables'!$B$27,0),'Tax Tables'!$B$29)*'Tax Tables'!$B$30,MIN(MAX(H276,0),'Tax Tables'!$B$23)*'Tax Tables'!$B$24+MIN(MAX(MAX(H276,0)-'Tax Tables'!$B$23,0),'Tax Tables'!$B$25)*'Tax Tables'!$B$26))*Calculator!$B$11,Calculator!$B$12)</f>
        <v>28220</v>
      </c>
      <c r="J276" s="11" t="n">
        <f aca="false">MAX(H276,0)-I276</f>
        <v>240280</v>
      </c>
      <c r="K276" s="11" t="n">
        <f aca="false">MIN(IF(A276&gt;0,Calculator!$B$13,0)+E276+Calculator!$B$14,'Tax Tables'!$B$36)</f>
        <v>1000</v>
      </c>
      <c r="L276" s="11" t="n">
        <f aca="false">MAX(A276-K276,0)</f>
        <v>130500</v>
      </c>
      <c r="M276" s="11" t="n">
        <f aca="false">SUMPRODUCT((L276&gt;'Tax Tables'!$A$5:$A$17)*(L276-'Tax Tables'!$A$5:$A$17)*'Tax Tables'!$C$5:$C$17)</f>
        <v>9525</v>
      </c>
      <c r="N276" s="11" t="n">
        <f aca="false">IF(H276&lt;0,-1E+099,A276-E276-M276+J276+(E276+F276)*Calculator!$B$9)</f>
        <v>362255</v>
      </c>
      <c r="O276" s="2"/>
      <c r="P276" s="11" t="n">
        <f aca="false">263*$B$3</f>
        <v>131500</v>
      </c>
      <c r="Q276" s="11" t="n">
        <f aca="false">MIN(P276,'Tax Tables'!$B$31*'Tax Tables'!$B$32)</f>
        <v>96000</v>
      </c>
      <c r="R276" s="11" t="n">
        <f aca="false">P276-Q276</f>
        <v>35500</v>
      </c>
      <c r="S276" s="11" t="n">
        <f aca="false">IF(Calculator!$B$6="Yes",MIN(Q276,'Tax Tables'!$B$31*'Tax Tables'!$B$32),0)</f>
        <v>96000</v>
      </c>
      <c r="T276" s="11" t="n">
        <f aca="false">S276*Calculator!$B$7</f>
        <v>19200</v>
      </c>
      <c r="U276" s="11" t="n">
        <f aca="false">S276*Calculator!$B$8</f>
        <v>16320</v>
      </c>
      <c r="V276" s="11" t="n">
        <f aca="false">IF(Q276&gt;0,'Tax Tables'!$B$32*MIN(MAX(Q276/'Tax Tables'!$B$32*'Tax Tables'!$B$33,'Tax Tables'!$B$34),'Tax Tables'!$B$35),0)</f>
        <v>135</v>
      </c>
      <c r="W276" s="11" t="n">
        <f aca="false">Calculator!$B$5-P276-U276-V276</f>
        <v>252045</v>
      </c>
      <c r="X276" s="11" t="n">
        <f aca="false">'Tax Tables'!$B$22*(MAX(W276,0)-IF(Calculator!$B$10="Yes",MIN(MAX(W276,0),'Tax Tables'!$B$27)*'Tax Tables'!$B$28+MIN(MAX(MAX(W276,0)-'Tax Tables'!$B$27,0),'Tax Tables'!$B$29)*'Tax Tables'!$B$30,MIN(MAX(W276,0),'Tax Tables'!$B$23)*'Tax Tables'!$B$24+MIN(MAX(MAX(W276,0)-'Tax Tables'!$B$23,0),'Tax Tables'!$B$25)*'Tax Tables'!$B$26))*1-MIN('Tax Tables'!$B$22*(MAX(W276,0)-IF(Calculator!$B$10="Yes",MIN(MAX(W276,0),'Tax Tables'!$B$27)*'Tax Tables'!$B$28+MIN(MAX(MAX(W276,0)-'Tax Tables'!$B$27,0),'Tax Tables'!$B$29)*'Tax Tables'!$B$30,MIN(MAX(W276,0),'Tax Tables'!$B$23)*'Tax Tables'!$B$24+MIN(MAX(MAX(W276,0)-'Tax Tables'!$B$23,0),'Tax Tables'!$B$25)*'Tax Tables'!$B$26))*Calculator!$B$11,Calculator!$B$12)</f>
        <v>25422.65</v>
      </c>
      <c r="Y276" s="11" t="n">
        <f aca="false">MAX(W276,0)-X276</f>
        <v>226622.35</v>
      </c>
      <c r="Z276" s="11" t="n">
        <f aca="false">MIN(IF(P276&gt;0,Calculator!$B$13,0)+T276+Calculator!$B$14,'Tax Tables'!$B$36)</f>
        <v>20200</v>
      </c>
      <c r="AA276" s="11" t="n">
        <f aca="false">MAX(P276-Z276,0)</f>
        <v>111300</v>
      </c>
      <c r="AB276" s="11" t="n">
        <f aca="false">SUMPRODUCT((AA276&gt;'Tax Tables'!$A$5:$A$17)*(AA276-'Tax Tables'!$A$5:$A$17)*'Tax Tables'!$C$5:$C$17)</f>
        <v>6949.5</v>
      </c>
      <c r="AC276" s="11" t="n">
        <f aca="false">IF(W276&lt;0,-1E+099,P276-T276-AB276+Y276+(T276+U276)*Calculator!$B$9)</f>
        <v>367492.85</v>
      </c>
    </row>
    <row r="277" customFormat="false" ht="15" hidden="false" customHeight="false" outlineLevel="0" collapsed="false">
      <c r="A277" s="11" t="n">
        <f aca="false">264*$B$3</f>
        <v>132000</v>
      </c>
      <c r="B277" s="11" t="n">
        <f aca="false">0</f>
        <v>0</v>
      </c>
      <c r="C277" s="11" t="n">
        <f aca="false">A277-B277</f>
        <v>132000</v>
      </c>
      <c r="D277" s="11" t="n">
        <f aca="false">IF(Calculator!$B$6="Yes",MIN(B277,'Tax Tables'!$B$31*'Tax Tables'!$B$32),0)</f>
        <v>0</v>
      </c>
      <c r="E277" s="11" t="n">
        <f aca="false">D277*Calculator!$B$7</f>
        <v>0</v>
      </c>
      <c r="F277" s="11" t="n">
        <f aca="false">D277*Calculator!$B$8</f>
        <v>0</v>
      </c>
      <c r="G277" s="11" t="n">
        <f aca="false">IF(B277&gt;0,'Tax Tables'!$B$32*MIN(MAX(B277/'Tax Tables'!$B$32*'Tax Tables'!$B$33,'Tax Tables'!$B$34),'Tax Tables'!$B$35),0)</f>
        <v>0</v>
      </c>
      <c r="H277" s="11" t="n">
        <f aca="false">Calculator!$B$5-A277-F277-G277</f>
        <v>268000</v>
      </c>
      <c r="I277" s="11" t="n">
        <f aca="false">'Tax Tables'!$B$22*(MAX(H277,0)-IF(Calculator!$B$10="Yes",MIN(MAX(H277,0),'Tax Tables'!$B$27)*'Tax Tables'!$B$28+MIN(MAX(MAX(H277,0)-'Tax Tables'!$B$27,0),'Tax Tables'!$B$29)*'Tax Tables'!$B$30,MIN(MAX(H277,0),'Tax Tables'!$B$23)*'Tax Tables'!$B$24+MIN(MAX(MAX(H277,0)-'Tax Tables'!$B$23,0),'Tax Tables'!$B$25)*'Tax Tables'!$B$26))*1-MIN('Tax Tables'!$B$22*(MAX(H277,0)-IF(Calculator!$B$10="Yes",MIN(MAX(H277,0),'Tax Tables'!$B$27)*'Tax Tables'!$B$28+MIN(MAX(MAX(H277,0)-'Tax Tables'!$B$27,0),'Tax Tables'!$B$29)*'Tax Tables'!$B$30,MIN(MAX(H277,0),'Tax Tables'!$B$23)*'Tax Tables'!$B$24+MIN(MAX(MAX(H277,0)-'Tax Tables'!$B$23,0),'Tax Tables'!$B$25)*'Tax Tables'!$B$26))*Calculator!$B$11,Calculator!$B$12)</f>
        <v>28135</v>
      </c>
      <c r="J277" s="11" t="n">
        <f aca="false">MAX(H277,0)-I277</f>
        <v>239865</v>
      </c>
      <c r="K277" s="11" t="n">
        <f aca="false">MIN(IF(A277&gt;0,Calculator!$B$13,0)+E277+Calculator!$B$14,'Tax Tables'!$B$36)</f>
        <v>1000</v>
      </c>
      <c r="L277" s="11" t="n">
        <f aca="false">MAX(A277-K277,0)</f>
        <v>131000</v>
      </c>
      <c r="M277" s="11" t="n">
        <f aca="false">SUMPRODUCT((L277&gt;'Tax Tables'!$A$5:$A$17)*(L277-'Tax Tables'!$A$5:$A$17)*'Tax Tables'!$C$5:$C$17)</f>
        <v>9600</v>
      </c>
      <c r="N277" s="11" t="n">
        <f aca="false">IF(H277&lt;0,-1E+099,A277-E277-M277+J277+(E277+F277)*Calculator!$B$9)</f>
        <v>362265</v>
      </c>
      <c r="O277" s="2"/>
      <c r="P277" s="11" t="n">
        <f aca="false">264*$B$3</f>
        <v>132000</v>
      </c>
      <c r="Q277" s="11" t="n">
        <f aca="false">MIN(P277,'Tax Tables'!$B$31*'Tax Tables'!$B$32)</f>
        <v>96000</v>
      </c>
      <c r="R277" s="11" t="n">
        <f aca="false">P277-Q277</f>
        <v>36000</v>
      </c>
      <c r="S277" s="11" t="n">
        <f aca="false">IF(Calculator!$B$6="Yes",MIN(Q277,'Tax Tables'!$B$31*'Tax Tables'!$B$32),0)</f>
        <v>96000</v>
      </c>
      <c r="T277" s="11" t="n">
        <f aca="false">S277*Calculator!$B$7</f>
        <v>19200</v>
      </c>
      <c r="U277" s="11" t="n">
        <f aca="false">S277*Calculator!$B$8</f>
        <v>16320</v>
      </c>
      <c r="V277" s="11" t="n">
        <f aca="false">IF(Q277&gt;0,'Tax Tables'!$B$32*MIN(MAX(Q277/'Tax Tables'!$B$32*'Tax Tables'!$B$33,'Tax Tables'!$B$34),'Tax Tables'!$B$35),0)</f>
        <v>135</v>
      </c>
      <c r="W277" s="11" t="n">
        <f aca="false">Calculator!$B$5-P277-U277-V277</f>
        <v>251545</v>
      </c>
      <c r="X277" s="11" t="n">
        <f aca="false">'Tax Tables'!$B$22*(MAX(W277,0)-IF(Calculator!$B$10="Yes",MIN(MAX(W277,0),'Tax Tables'!$B$27)*'Tax Tables'!$B$28+MIN(MAX(MAX(W277,0)-'Tax Tables'!$B$27,0),'Tax Tables'!$B$29)*'Tax Tables'!$B$30,MIN(MAX(W277,0),'Tax Tables'!$B$23)*'Tax Tables'!$B$24+MIN(MAX(MAX(W277,0)-'Tax Tables'!$B$23,0),'Tax Tables'!$B$25)*'Tax Tables'!$B$26))*1-MIN('Tax Tables'!$B$22*(MAX(W277,0)-IF(Calculator!$B$10="Yes",MIN(MAX(W277,0),'Tax Tables'!$B$27)*'Tax Tables'!$B$28+MIN(MAX(MAX(W277,0)-'Tax Tables'!$B$27,0),'Tax Tables'!$B$29)*'Tax Tables'!$B$30,MIN(MAX(W277,0),'Tax Tables'!$B$23)*'Tax Tables'!$B$24+MIN(MAX(MAX(W277,0)-'Tax Tables'!$B$23,0),'Tax Tables'!$B$25)*'Tax Tables'!$B$26))*Calculator!$B$11,Calculator!$B$12)</f>
        <v>25337.65</v>
      </c>
      <c r="Y277" s="11" t="n">
        <f aca="false">MAX(W277,0)-X277</f>
        <v>226207.35</v>
      </c>
      <c r="Z277" s="11" t="n">
        <f aca="false">MIN(IF(P277&gt;0,Calculator!$B$13,0)+T277+Calculator!$B$14,'Tax Tables'!$B$36)</f>
        <v>20200</v>
      </c>
      <c r="AA277" s="11" t="n">
        <f aca="false">MAX(P277-Z277,0)</f>
        <v>111800</v>
      </c>
      <c r="AB277" s="11" t="n">
        <f aca="false">SUMPRODUCT((AA277&gt;'Tax Tables'!$A$5:$A$17)*(AA277-'Tax Tables'!$A$5:$A$17)*'Tax Tables'!$C$5:$C$17)</f>
        <v>7007</v>
      </c>
      <c r="AC277" s="11" t="n">
        <f aca="false">IF(W277&lt;0,-1E+099,P277-T277-AB277+Y277+(T277+U277)*Calculator!$B$9)</f>
        <v>367520.35</v>
      </c>
    </row>
    <row r="278" customFormat="false" ht="15" hidden="false" customHeight="false" outlineLevel="0" collapsed="false">
      <c r="A278" s="11" t="n">
        <f aca="false">265*$B$3</f>
        <v>132500</v>
      </c>
      <c r="B278" s="11" t="n">
        <f aca="false">0</f>
        <v>0</v>
      </c>
      <c r="C278" s="11" t="n">
        <f aca="false">A278-B278</f>
        <v>132500</v>
      </c>
      <c r="D278" s="11" t="n">
        <f aca="false">IF(Calculator!$B$6="Yes",MIN(B278,'Tax Tables'!$B$31*'Tax Tables'!$B$32),0)</f>
        <v>0</v>
      </c>
      <c r="E278" s="11" t="n">
        <f aca="false">D278*Calculator!$B$7</f>
        <v>0</v>
      </c>
      <c r="F278" s="11" t="n">
        <f aca="false">D278*Calculator!$B$8</f>
        <v>0</v>
      </c>
      <c r="G278" s="11" t="n">
        <f aca="false">IF(B278&gt;0,'Tax Tables'!$B$32*MIN(MAX(B278/'Tax Tables'!$B$32*'Tax Tables'!$B$33,'Tax Tables'!$B$34),'Tax Tables'!$B$35),0)</f>
        <v>0</v>
      </c>
      <c r="H278" s="11" t="n">
        <f aca="false">Calculator!$B$5-A278-F278-G278</f>
        <v>267500</v>
      </c>
      <c r="I278" s="11" t="n">
        <f aca="false">'Tax Tables'!$B$22*(MAX(H278,0)-IF(Calculator!$B$10="Yes",MIN(MAX(H278,0),'Tax Tables'!$B$27)*'Tax Tables'!$B$28+MIN(MAX(MAX(H278,0)-'Tax Tables'!$B$27,0),'Tax Tables'!$B$29)*'Tax Tables'!$B$30,MIN(MAX(H278,0),'Tax Tables'!$B$23)*'Tax Tables'!$B$24+MIN(MAX(MAX(H278,0)-'Tax Tables'!$B$23,0),'Tax Tables'!$B$25)*'Tax Tables'!$B$26))*1-MIN('Tax Tables'!$B$22*(MAX(H278,0)-IF(Calculator!$B$10="Yes",MIN(MAX(H278,0),'Tax Tables'!$B$27)*'Tax Tables'!$B$28+MIN(MAX(MAX(H278,0)-'Tax Tables'!$B$27,0),'Tax Tables'!$B$29)*'Tax Tables'!$B$30,MIN(MAX(H278,0),'Tax Tables'!$B$23)*'Tax Tables'!$B$24+MIN(MAX(MAX(H278,0)-'Tax Tables'!$B$23,0),'Tax Tables'!$B$25)*'Tax Tables'!$B$26))*Calculator!$B$11,Calculator!$B$12)</f>
        <v>28050</v>
      </c>
      <c r="J278" s="11" t="n">
        <f aca="false">MAX(H278,0)-I278</f>
        <v>239450</v>
      </c>
      <c r="K278" s="11" t="n">
        <f aca="false">MIN(IF(A278&gt;0,Calculator!$B$13,0)+E278+Calculator!$B$14,'Tax Tables'!$B$36)</f>
        <v>1000</v>
      </c>
      <c r="L278" s="11" t="n">
        <f aca="false">MAX(A278-K278,0)</f>
        <v>131500</v>
      </c>
      <c r="M278" s="11" t="n">
        <f aca="false">SUMPRODUCT((L278&gt;'Tax Tables'!$A$5:$A$17)*(L278-'Tax Tables'!$A$5:$A$17)*'Tax Tables'!$C$5:$C$17)</f>
        <v>9675</v>
      </c>
      <c r="N278" s="11" t="n">
        <f aca="false">IF(H278&lt;0,-1E+099,A278-E278-M278+J278+(E278+F278)*Calculator!$B$9)</f>
        <v>362275</v>
      </c>
      <c r="O278" s="2"/>
      <c r="P278" s="11" t="n">
        <f aca="false">265*$B$3</f>
        <v>132500</v>
      </c>
      <c r="Q278" s="11" t="n">
        <f aca="false">MIN(P278,'Tax Tables'!$B$31*'Tax Tables'!$B$32)</f>
        <v>96000</v>
      </c>
      <c r="R278" s="11" t="n">
        <f aca="false">P278-Q278</f>
        <v>36500</v>
      </c>
      <c r="S278" s="11" t="n">
        <f aca="false">IF(Calculator!$B$6="Yes",MIN(Q278,'Tax Tables'!$B$31*'Tax Tables'!$B$32),0)</f>
        <v>96000</v>
      </c>
      <c r="T278" s="11" t="n">
        <f aca="false">S278*Calculator!$B$7</f>
        <v>19200</v>
      </c>
      <c r="U278" s="11" t="n">
        <f aca="false">S278*Calculator!$B$8</f>
        <v>16320</v>
      </c>
      <c r="V278" s="11" t="n">
        <f aca="false">IF(Q278&gt;0,'Tax Tables'!$B$32*MIN(MAX(Q278/'Tax Tables'!$B$32*'Tax Tables'!$B$33,'Tax Tables'!$B$34),'Tax Tables'!$B$35),0)</f>
        <v>135</v>
      </c>
      <c r="W278" s="11" t="n">
        <f aca="false">Calculator!$B$5-P278-U278-V278</f>
        <v>251045</v>
      </c>
      <c r="X278" s="11" t="n">
        <f aca="false">'Tax Tables'!$B$22*(MAX(W278,0)-IF(Calculator!$B$10="Yes",MIN(MAX(W278,0),'Tax Tables'!$B$27)*'Tax Tables'!$B$28+MIN(MAX(MAX(W278,0)-'Tax Tables'!$B$27,0),'Tax Tables'!$B$29)*'Tax Tables'!$B$30,MIN(MAX(W278,0),'Tax Tables'!$B$23)*'Tax Tables'!$B$24+MIN(MAX(MAX(W278,0)-'Tax Tables'!$B$23,0),'Tax Tables'!$B$25)*'Tax Tables'!$B$26))*1-MIN('Tax Tables'!$B$22*(MAX(W278,0)-IF(Calculator!$B$10="Yes",MIN(MAX(W278,0),'Tax Tables'!$B$27)*'Tax Tables'!$B$28+MIN(MAX(MAX(W278,0)-'Tax Tables'!$B$27,0),'Tax Tables'!$B$29)*'Tax Tables'!$B$30,MIN(MAX(W278,0),'Tax Tables'!$B$23)*'Tax Tables'!$B$24+MIN(MAX(MAX(W278,0)-'Tax Tables'!$B$23,0),'Tax Tables'!$B$25)*'Tax Tables'!$B$26))*Calculator!$B$11,Calculator!$B$12)</f>
        <v>25252.65</v>
      </c>
      <c r="Y278" s="11" t="n">
        <f aca="false">MAX(W278,0)-X278</f>
        <v>225792.35</v>
      </c>
      <c r="Z278" s="11" t="n">
        <f aca="false">MIN(IF(P278&gt;0,Calculator!$B$13,0)+T278+Calculator!$B$14,'Tax Tables'!$B$36)</f>
        <v>20200</v>
      </c>
      <c r="AA278" s="11" t="n">
        <f aca="false">MAX(P278-Z278,0)</f>
        <v>112300</v>
      </c>
      <c r="AB278" s="11" t="n">
        <f aca="false">SUMPRODUCT((AA278&gt;'Tax Tables'!$A$5:$A$17)*(AA278-'Tax Tables'!$A$5:$A$17)*'Tax Tables'!$C$5:$C$17)</f>
        <v>7064.5</v>
      </c>
      <c r="AC278" s="11" t="n">
        <f aca="false">IF(W278&lt;0,-1E+099,P278-T278-AB278+Y278+(T278+U278)*Calculator!$B$9)</f>
        <v>367547.85</v>
      </c>
    </row>
    <row r="279" customFormat="false" ht="15" hidden="false" customHeight="false" outlineLevel="0" collapsed="false">
      <c r="A279" s="11" t="n">
        <f aca="false">266*$B$3</f>
        <v>133000</v>
      </c>
      <c r="B279" s="11" t="n">
        <f aca="false">0</f>
        <v>0</v>
      </c>
      <c r="C279" s="11" t="n">
        <f aca="false">A279-B279</f>
        <v>133000</v>
      </c>
      <c r="D279" s="11" t="n">
        <f aca="false">IF(Calculator!$B$6="Yes",MIN(B279,'Tax Tables'!$B$31*'Tax Tables'!$B$32),0)</f>
        <v>0</v>
      </c>
      <c r="E279" s="11" t="n">
        <f aca="false">D279*Calculator!$B$7</f>
        <v>0</v>
      </c>
      <c r="F279" s="11" t="n">
        <f aca="false">D279*Calculator!$B$8</f>
        <v>0</v>
      </c>
      <c r="G279" s="11" t="n">
        <f aca="false">IF(B279&gt;0,'Tax Tables'!$B$32*MIN(MAX(B279/'Tax Tables'!$B$32*'Tax Tables'!$B$33,'Tax Tables'!$B$34),'Tax Tables'!$B$35),0)</f>
        <v>0</v>
      </c>
      <c r="H279" s="11" t="n">
        <f aca="false">Calculator!$B$5-A279-F279-G279</f>
        <v>267000</v>
      </c>
      <c r="I279" s="11" t="n">
        <f aca="false">'Tax Tables'!$B$22*(MAX(H279,0)-IF(Calculator!$B$10="Yes",MIN(MAX(H279,0),'Tax Tables'!$B$27)*'Tax Tables'!$B$28+MIN(MAX(MAX(H279,0)-'Tax Tables'!$B$27,0),'Tax Tables'!$B$29)*'Tax Tables'!$B$30,MIN(MAX(H279,0),'Tax Tables'!$B$23)*'Tax Tables'!$B$24+MIN(MAX(MAX(H279,0)-'Tax Tables'!$B$23,0),'Tax Tables'!$B$25)*'Tax Tables'!$B$26))*1-MIN('Tax Tables'!$B$22*(MAX(H279,0)-IF(Calculator!$B$10="Yes",MIN(MAX(H279,0),'Tax Tables'!$B$27)*'Tax Tables'!$B$28+MIN(MAX(MAX(H279,0)-'Tax Tables'!$B$27,0),'Tax Tables'!$B$29)*'Tax Tables'!$B$30,MIN(MAX(H279,0),'Tax Tables'!$B$23)*'Tax Tables'!$B$24+MIN(MAX(MAX(H279,0)-'Tax Tables'!$B$23,0),'Tax Tables'!$B$25)*'Tax Tables'!$B$26))*Calculator!$B$11,Calculator!$B$12)</f>
        <v>27965</v>
      </c>
      <c r="J279" s="11" t="n">
        <f aca="false">MAX(H279,0)-I279</f>
        <v>239035</v>
      </c>
      <c r="K279" s="11" t="n">
        <f aca="false">MIN(IF(A279&gt;0,Calculator!$B$13,0)+E279+Calculator!$B$14,'Tax Tables'!$B$36)</f>
        <v>1000</v>
      </c>
      <c r="L279" s="11" t="n">
        <f aca="false">MAX(A279-K279,0)</f>
        <v>132000</v>
      </c>
      <c r="M279" s="11" t="n">
        <f aca="false">SUMPRODUCT((L279&gt;'Tax Tables'!$A$5:$A$17)*(L279-'Tax Tables'!$A$5:$A$17)*'Tax Tables'!$C$5:$C$17)</f>
        <v>9750</v>
      </c>
      <c r="N279" s="11" t="n">
        <f aca="false">IF(H279&lt;0,-1E+099,A279-E279-M279+J279+(E279+F279)*Calculator!$B$9)</f>
        <v>362285</v>
      </c>
      <c r="O279" s="2"/>
      <c r="P279" s="11" t="n">
        <f aca="false">266*$B$3</f>
        <v>133000</v>
      </c>
      <c r="Q279" s="11" t="n">
        <f aca="false">MIN(P279,'Tax Tables'!$B$31*'Tax Tables'!$B$32)</f>
        <v>96000</v>
      </c>
      <c r="R279" s="11" t="n">
        <f aca="false">P279-Q279</f>
        <v>37000</v>
      </c>
      <c r="S279" s="11" t="n">
        <f aca="false">IF(Calculator!$B$6="Yes",MIN(Q279,'Tax Tables'!$B$31*'Tax Tables'!$B$32),0)</f>
        <v>96000</v>
      </c>
      <c r="T279" s="11" t="n">
        <f aca="false">S279*Calculator!$B$7</f>
        <v>19200</v>
      </c>
      <c r="U279" s="11" t="n">
        <f aca="false">S279*Calculator!$B$8</f>
        <v>16320</v>
      </c>
      <c r="V279" s="11" t="n">
        <f aca="false">IF(Q279&gt;0,'Tax Tables'!$B$32*MIN(MAX(Q279/'Tax Tables'!$B$32*'Tax Tables'!$B$33,'Tax Tables'!$B$34),'Tax Tables'!$B$35),0)</f>
        <v>135</v>
      </c>
      <c r="W279" s="11" t="n">
        <f aca="false">Calculator!$B$5-P279-U279-V279</f>
        <v>250545</v>
      </c>
      <c r="X279" s="11" t="n">
        <f aca="false">'Tax Tables'!$B$22*(MAX(W279,0)-IF(Calculator!$B$10="Yes",MIN(MAX(W279,0),'Tax Tables'!$B$27)*'Tax Tables'!$B$28+MIN(MAX(MAX(W279,0)-'Tax Tables'!$B$27,0),'Tax Tables'!$B$29)*'Tax Tables'!$B$30,MIN(MAX(W279,0),'Tax Tables'!$B$23)*'Tax Tables'!$B$24+MIN(MAX(MAX(W279,0)-'Tax Tables'!$B$23,0),'Tax Tables'!$B$25)*'Tax Tables'!$B$26))*1-MIN('Tax Tables'!$B$22*(MAX(W279,0)-IF(Calculator!$B$10="Yes",MIN(MAX(W279,0),'Tax Tables'!$B$27)*'Tax Tables'!$B$28+MIN(MAX(MAX(W279,0)-'Tax Tables'!$B$27,0),'Tax Tables'!$B$29)*'Tax Tables'!$B$30,MIN(MAX(W279,0),'Tax Tables'!$B$23)*'Tax Tables'!$B$24+MIN(MAX(MAX(W279,0)-'Tax Tables'!$B$23,0),'Tax Tables'!$B$25)*'Tax Tables'!$B$26))*Calculator!$B$11,Calculator!$B$12)</f>
        <v>25167.65</v>
      </c>
      <c r="Y279" s="11" t="n">
        <f aca="false">MAX(W279,0)-X279</f>
        <v>225377.35</v>
      </c>
      <c r="Z279" s="11" t="n">
        <f aca="false">MIN(IF(P279&gt;0,Calculator!$B$13,0)+T279+Calculator!$B$14,'Tax Tables'!$B$36)</f>
        <v>20200</v>
      </c>
      <c r="AA279" s="11" t="n">
        <f aca="false">MAX(P279-Z279,0)</f>
        <v>112800</v>
      </c>
      <c r="AB279" s="11" t="n">
        <f aca="false">SUMPRODUCT((AA279&gt;'Tax Tables'!$A$5:$A$17)*(AA279-'Tax Tables'!$A$5:$A$17)*'Tax Tables'!$C$5:$C$17)</f>
        <v>7122</v>
      </c>
      <c r="AC279" s="11" t="n">
        <f aca="false">IF(W279&lt;0,-1E+099,P279-T279-AB279+Y279+(T279+U279)*Calculator!$B$9)</f>
        <v>367575.35</v>
      </c>
    </row>
    <row r="280" customFormat="false" ht="15" hidden="false" customHeight="false" outlineLevel="0" collapsed="false">
      <c r="A280" s="11" t="n">
        <f aca="false">267*$B$3</f>
        <v>133500</v>
      </c>
      <c r="B280" s="11" t="n">
        <f aca="false">0</f>
        <v>0</v>
      </c>
      <c r="C280" s="11" t="n">
        <f aca="false">A280-B280</f>
        <v>133500</v>
      </c>
      <c r="D280" s="11" t="n">
        <f aca="false">IF(Calculator!$B$6="Yes",MIN(B280,'Tax Tables'!$B$31*'Tax Tables'!$B$32),0)</f>
        <v>0</v>
      </c>
      <c r="E280" s="11" t="n">
        <f aca="false">D280*Calculator!$B$7</f>
        <v>0</v>
      </c>
      <c r="F280" s="11" t="n">
        <f aca="false">D280*Calculator!$B$8</f>
        <v>0</v>
      </c>
      <c r="G280" s="11" t="n">
        <f aca="false">IF(B280&gt;0,'Tax Tables'!$B$32*MIN(MAX(B280/'Tax Tables'!$B$32*'Tax Tables'!$B$33,'Tax Tables'!$B$34),'Tax Tables'!$B$35),0)</f>
        <v>0</v>
      </c>
      <c r="H280" s="11" t="n">
        <f aca="false">Calculator!$B$5-A280-F280-G280</f>
        <v>266500</v>
      </c>
      <c r="I280" s="11" t="n">
        <f aca="false">'Tax Tables'!$B$22*(MAX(H280,0)-IF(Calculator!$B$10="Yes",MIN(MAX(H280,0),'Tax Tables'!$B$27)*'Tax Tables'!$B$28+MIN(MAX(MAX(H280,0)-'Tax Tables'!$B$27,0),'Tax Tables'!$B$29)*'Tax Tables'!$B$30,MIN(MAX(H280,0),'Tax Tables'!$B$23)*'Tax Tables'!$B$24+MIN(MAX(MAX(H280,0)-'Tax Tables'!$B$23,0),'Tax Tables'!$B$25)*'Tax Tables'!$B$26))*1-MIN('Tax Tables'!$B$22*(MAX(H280,0)-IF(Calculator!$B$10="Yes",MIN(MAX(H280,0),'Tax Tables'!$B$27)*'Tax Tables'!$B$28+MIN(MAX(MAX(H280,0)-'Tax Tables'!$B$27,0),'Tax Tables'!$B$29)*'Tax Tables'!$B$30,MIN(MAX(H280,0),'Tax Tables'!$B$23)*'Tax Tables'!$B$24+MIN(MAX(MAX(H280,0)-'Tax Tables'!$B$23,0),'Tax Tables'!$B$25)*'Tax Tables'!$B$26))*Calculator!$B$11,Calculator!$B$12)</f>
        <v>27880</v>
      </c>
      <c r="J280" s="11" t="n">
        <f aca="false">MAX(H280,0)-I280</f>
        <v>238620</v>
      </c>
      <c r="K280" s="11" t="n">
        <f aca="false">MIN(IF(A280&gt;0,Calculator!$B$13,0)+E280+Calculator!$B$14,'Tax Tables'!$B$36)</f>
        <v>1000</v>
      </c>
      <c r="L280" s="11" t="n">
        <f aca="false">MAX(A280-K280,0)</f>
        <v>132500</v>
      </c>
      <c r="M280" s="11" t="n">
        <f aca="false">SUMPRODUCT((L280&gt;'Tax Tables'!$A$5:$A$17)*(L280-'Tax Tables'!$A$5:$A$17)*'Tax Tables'!$C$5:$C$17)</f>
        <v>9825</v>
      </c>
      <c r="N280" s="11" t="n">
        <f aca="false">IF(H280&lt;0,-1E+099,A280-E280-M280+J280+(E280+F280)*Calculator!$B$9)</f>
        <v>362295</v>
      </c>
      <c r="O280" s="2"/>
      <c r="P280" s="11" t="n">
        <f aca="false">267*$B$3</f>
        <v>133500</v>
      </c>
      <c r="Q280" s="11" t="n">
        <f aca="false">MIN(P280,'Tax Tables'!$B$31*'Tax Tables'!$B$32)</f>
        <v>96000</v>
      </c>
      <c r="R280" s="11" t="n">
        <f aca="false">P280-Q280</f>
        <v>37500</v>
      </c>
      <c r="S280" s="11" t="n">
        <f aca="false">IF(Calculator!$B$6="Yes",MIN(Q280,'Tax Tables'!$B$31*'Tax Tables'!$B$32),0)</f>
        <v>96000</v>
      </c>
      <c r="T280" s="11" t="n">
        <f aca="false">S280*Calculator!$B$7</f>
        <v>19200</v>
      </c>
      <c r="U280" s="11" t="n">
        <f aca="false">S280*Calculator!$B$8</f>
        <v>16320</v>
      </c>
      <c r="V280" s="11" t="n">
        <f aca="false">IF(Q280&gt;0,'Tax Tables'!$B$32*MIN(MAX(Q280/'Tax Tables'!$B$32*'Tax Tables'!$B$33,'Tax Tables'!$B$34),'Tax Tables'!$B$35),0)</f>
        <v>135</v>
      </c>
      <c r="W280" s="11" t="n">
        <f aca="false">Calculator!$B$5-P280-U280-V280</f>
        <v>250045</v>
      </c>
      <c r="X280" s="11" t="n">
        <f aca="false">'Tax Tables'!$B$22*(MAX(W280,0)-IF(Calculator!$B$10="Yes",MIN(MAX(W280,0),'Tax Tables'!$B$27)*'Tax Tables'!$B$28+MIN(MAX(MAX(W280,0)-'Tax Tables'!$B$27,0),'Tax Tables'!$B$29)*'Tax Tables'!$B$30,MIN(MAX(W280,0),'Tax Tables'!$B$23)*'Tax Tables'!$B$24+MIN(MAX(MAX(W280,0)-'Tax Tables'!$B$23,0),'Tax Tables'!$B$25)*'Tax Tables'!$B$26))*1-MIN('Tax Tables'!$B$22*(MAX(W280,0)-IF(Calculator!$B$10="Yes",MIN(MAX(W280,0),'Tax Tables'!$B$27)*'Tax Tables'!$B$28+MIN(MAX(MAX(W280,0)-'Tax Tables'!$B$27,0),'Tax Tables'!$B$29)*'Tax Tables'!$B$30,MIN(MAX(W280,0),'Tax Tables'!$B$23)*'Tax Tables'!$B$24+MIN(MAX(MAX(W280,0)-'Tax Tables'!$B$23,0),'Tax Tables'!$B$25)*'Tax Tables'!$B$26))*Calculator!$B$11,Calculator!$B$12)</f>
        <v>25082.65</v>
      </c>
      <c r="Y280" s="11" t="n">
        <f aca="false">MAX(W280,0)-X280</f>
        <v>224962.35</v>
      </c>
      <c r="Z280" s="11" t="n">
        <f aca="false">MIN(IF(P280&gt;0,Calculator!$B$13,0)+T280+Calculator!$B$14,'Tax Tables'!$B$36)</f>
        <v>20200</v>
      </c>
      <c r="AA280" s="11" t="n">
        <f aca="false">MAX(P280-Z280,0)</f>
        <v>113300</v>
      </c>
      <c r="AB280" s="11" t="n">
        <f aca="false">SUMPRODUCT((AA280&gt;'Tax Tables'!$A$5:$A$17)*(AA280-'Tax Tables'!$A$5:$A$17)*'Tax Tables'!$C$5:$C$17)</f>
        <v>7179.5</v>
      </c>
      <c r="AC280" s="11" t="n">
        <f aca="false">IF(W280&lt;0,-1E+099,P280-T280-AB280+Y280+(T280+U280)*Calculator!$B$9)</f>
        <v>367602.85</v>
      </c>
    </row>
    <row r="281" customFormat="false" ht="15" hidden="false" customHeight="false" outlineLevel="0" collapsed="false">
      <c r="A281" s="11" t="n">
        <f aca="false">268*$B$3</f>
        <v>134000</v>
      </c>
      <c r="B281" s="11" t="n">
        <f aca="false">0</f>
        <v>0</v>
      </c>
      <c r="C281" s="11" t="n">
        <f aca="false">A281-B281</f>
        <v>134000</v>
      </c>
      <c r="D281" s="11" t="n">
        <f aca="false">IF(Calculator!$B$6="Yes",MIN(B281,'Tax Tables'!$B$31*'Tax Tables'!$B$32),0)</f>
        <v>0</v>
      </c>
      <c r="E281" s="11" t="n">
        <f aca="false">D281*Calculator!$B$7</f>
        <v>0</v>
      </c>
      <c r="F281" s="11" t="n">
        <f aca="false">D281*Calculator!$B$8</f>
        <v>0</v>
      </c>
      <c r="G281" s="11" t="n">
        <f aca="false">IF(B281&gt;0,'Tax Tables'!$B$32*MIN(MAX(B281/'Tax Tables'!$B$32*'Tax Tables'!$B$33,'Tax Tables'!$B$34),'Tax Tables'!$B$35),0)</f>
        <v>0</v>
      </c>
      <c r="H281" s="11" t="n">
        <f aca="false">Calculator!$B$5-A281-F281-G281</f>
        <v>266000</v>
      </c>
      <c r="I281" s="11" t="n">
        <f aca="false">'Tax Tables'!$B$22*(MAX(H281,0)-IF(Calculator!$B$10="Yes",MIN(MAX(H281,0),'Tax Tables'!$B$27)*'Tax Tables'!$B$28+MIN(MAX(MAX(H281,0)-'Tax Tables'!$B$27,0),'Tax Tables'!$B$29)*'Tax Tables'!$B$30,MIN(MAX(H281,0),'Tax Tables'!$B$23)*'Tax Tables'!$B$24+MIN(MAX(MAX(H281,0)-'Tax Tables'!$B$23,0),'Tax Tables'!$B$25)*'Tax Tables'!$B$26))*1-MIN('Tax Tables'!$B$22*(MAX(H281,0)-IF(Calculator!$B$10="Yes",MIN(MAX(H281,0),'Tax Tables'!$B$27)*'Tax Tables'!$B$28+MIN(MAX(MAX(H281,0)-'Tax Tables'!$B$27,0),'Tax Tables'!$B$29)*'Tax Tables'!$B$30,MIN(MAX(H281,0),'Tax Tables'!$B$23)*'Tax Tables'!$B$24+MIN(MAX(MAX(H281,0)-'Tax Tables'!$B$23,0),'Tax Tables'!$B$25)*'Tax Tables'!$B$26))*Calculator!$B$11,Calculator!$B$12)</f>
        <v>27795</v>
      </c>
      <c r="J281" s="11" t="n">
        <f aca="false">MAX(H281,0)-I281</f>
        <v>238205</v>
      </c>
      <c r="K281" s="11" t="n">
        <f aca="false">MIN(IF(A281&gt;0,Calculator!$B$13,0)+E281+Calculator!$B$14,'Tax Tables'!$B$36)</f>
        <v>1000</v>
      </c>
      <c r="L281" s="11" t="n">
        <f aca="false">MAX(A281-K281,0)</f>
        <v>133000</v>
      </c>
      <c r="M281" s="11" t="n">
        <f aca="false">SUMPRODUCT((L281&gt;'Tax Tables'!$A$5:$A$17)*(L281-'Tax Tables'!$A$5:$A$17)*'Tax Tables'!$C$5:$C$17)</f>
        <v>9900</v>
      </c>
      <c r="N281" s="11" t="n">
        <f aca="false">IF(H281&lt;0,-1E+099,A281-E281-M281+J281+(E281+F281)*Calculator!$B$9)</f>
        <v>362305</v>
      </c>
      <c r="O281" s="2"/>
      <c r="P281" s="11" t="n">
        <f aca="false">268*$B$3</f>
        <v>134000</v>
      </c>
      <c r="Q281" s="11" t="n">
        <f aca="false">MIN(P281,'Tax Tables'!$B$31*'Tax Tables'!$B$32)</f>
        <v>96000</v>
      </c>
      <c r="R281" s="11" t="n">
        <f aca="false">P281-Q281</f>
        <v>38000</v>
      </c>
      <c r="S281" s="11" t="n">
        <f aca="false">IF(Calculator!$B$6="Yes",MIN(Q281,'Tax Tables'!$B$31*'Tax Tables'!$B$32),0)</f>
        <v>96000</v>
      </c>
      <c r="T281" s="11" t="n">
        <f aca="false">S281*Calculator!$B$7</f>
        <v>19200</v>
      </c>
      <c r="U281" s="11" t="n">
        <f aca="false">S281*Calculator!$B$8</f>
        <v>16320</v>
      </c>
      <c r="V281" s="11" t="n">
        <f aca="false">IF(Q281&gt;0,'Tax Tables'!$B$32*MIN(MAX(Q281/'Tax Tables'!$B$32*'Tax Tables'!$B$33,'Tax Tables'!$B$34),'Tax Tables'!$B$35),0)</f>
        <v>135</v>
      </c>
      <c r="W281" s="11" t="n">
        <f aca="false">Calculator!$B$5-P281-U281-V281</f>
        <v>249545</v>
      </c>
      <c r="X281" s="11" t="n">
        <f aca="false">'Tax Tables'!$B$22*(MAX(W281,0)-IF(Calculator!$B$10="Yes",MIN(MAX(W281,0),'Tax Tables'!$B$27)*'Tax Tables'!$B$28+MIN(MAX(MAX(W281,0)-'Tax Tables'!$B$27,0),'Tax Tables'!$B$29)*'Tax Tables'!$B$30,MIN(MAX(W281,0),'Tax Tables'!$B$23)*'Tax Tables'!$B$24+MIN(MAX(MAX(W281,0)-'Tax Tables'!$B$23,0),'Tax Tables'!$B$25)*'Tax Tables'!$B$26))*1-MIN('Tax Tables'!$B$22*(MAX(W281,0)-IF(Calculator!$B$10="Yes",MIN(MAX(W281,0),'Tax Tables'!$B$27)*'Tax Tables'!$B$28+MIN(MAX(MAX(W281,0)-'Tax Tables'!$B$27,0),'Tax Tables'!$B$29)*'Tax Tables'!$B$30,MIN(MAX(W281,0),'Tax Tables'!$B$23)*'Tax Tables'!$B$24+MIN(MAX(MAX(W281,0)-'Tax Tables'!$B$23,0),'Tax Tables'!$B$25)*'Tax Tables'!$B$26))*Calculator!$B$11,Calculator!$B$12)</f>
        <v>24997.65</v>
      </c>
      <c r="Y281" s="11" t="n">
        <f aca="false">MAX(W281,0)-X281</f>
        <v>224547.35</v>
      </c>
      <c r="Z281" s="11" t="n">
        <f aca="false">MIN(IF(P281&gt;0,Calculator!$B$13,0)+T281+Calculator!$B$14,'Tax Tables'!$B$36)</f>
        <v>20200</v>
      </c>
      <c r="AA281" s="11" t="n">
        <f aca="false">MAX(P281-Z281,0)</f>
        <v>113800</v>
      </c>
      <c r="AB281" s="11" t="n">
        <f aca="false">SUMPRODUCT((AA281&gt;'Tax Tables'!$A$5:$A$17)*(AA281-'Tax Tables'!$A$5:$A$17)*'Tax Tables'!$C$5:$C$17)</f>
        <v>7237</v>
      </c>
      <c r="AC281" s="11" t="n">
        <f aca="false">IF(W281&lt;0,-1E+099,P281-T281-AB281+Y281+(T281+U281)*Calculator!$B$9)</f>
        <v>367630.35</v>
      </c>
    </row>
    <row r="282" customFormat="false" ht="15" hidden="false" customHeight="false" outlineLevel="0" collapsed="false">
      <c r="A282" s="11" t="n">
        <f aca="false">269*$B$3</f>
        <v>134500</v>
      </c>
      <c r="B282" s="11" t="n">
        <f aca="false">0</f>
        <v>0</v>
      </c>
      <c r="C282" s="11" t="n">
        <f aca="false">A282-B282</f>
        <v>134500</v>
      </c>
      <c r="D282" s="11" t="n">
        <f aca="false">IF(Calculator!$B$6="Yes",MIN(B282,'Tax Tables'!$B$31*'Tax Tables'!$B$32),0)</f>
        <v>0</v>
      </c>
      <c r="E282" s="11" t="n">
        <f aca="false">D282*Calculator!$B$7</f>
        <v>0</v>
      </c>
      <c r="F282" s="11" t="n">
        <f aca="false">D282*Calculator!$B$8</f>
        <v>0</v>
      </c>
      <c r="G282" s="11" t="n">
        <f aca="false">IF(B282&gt;0,'Tax Tables'!$B$32*MIN(MAX(B282/'Tax Tables'!$B$32*'Tax Tables'!$B$33,'Tax Tables'!$B$34),'Tax Tables'!$B$35),0)</f>
        <v>0</v>
      </c>
      <c r="H282" s="11" t="n">
        <f aca="false">Calculator!$B$5-A282-F282-G282</f>
        <v>265500</v>
      </c>
      <c r="I282" s="11" t="n">
        <f aca="false">'Tax Tables'!$B$22*(MAX(H282,0)-IF(Calculator!$B$10="Yes",MIN(MAX(H282,0),'Tax Tables'!$B$27)*'Tax Tables'!$B$28+MIN(MAX(MAX(H282,0)-'Tax Tables'!$B$27,0),'Tax Tables'!$B$29)*'Tax Tables'!$B$30,MIN(MAX(H282,0),'Tax Tables'!$B$23)*'Tax Tables'!$B$24+MIN(MAX(MAX(H282,0)-'Tax Tables'!$B$23,0),'Tax Tables'!$B$25)*'Tax Tables'!$B$26))*1-MIN('Tax Tables'!$B$22*(MAX(H282,0)-IF(Calculator!$B$10="Yes",MIN(MAX(H282,0),'Tax Tables'!$B$27)*'Tax Tables'!$B$28+MIN(MAX(MAX(H282,0)-'Tax Tables'!$B$27,0),'Tax Tables'!$B$29)*'Tax Tables'!$B$30,MIN(MAX(H282,0),'Tax Tables'!$B$23)*'Tax Tables'!$B$24+MIN(MAX(MAX(H282,0)-'Tax Tables'!$B$23,0),'Tax Tables'!$B$25)*'Tax Tables'!$B$26))*Calculator!$B$11,Calculator!$B$12)</f>
        <v>27710</v>
      </c>
      <c r="J282" s="11" t="n">
        <f aca="false">MAX(H282,0)-I282</f>
        <v>237790</v>
      </c>
      <c r="K282" s="11" t="n">
        <f aca="false">MIN(IF(A282&gt;0,Calculator!$B$13,0)+E282+Calculator!$B$14,'Tax Tables'!$B$36)</f>
        <v>1000</v>
      </c>
      <c r="L282" s="11" t="n">
        <f aca="false">MAX(A282-K282,0)</f>
        <v>133500</v>
      </c>
      <c r="M282" s="11" t="n">
        <f aca="false">SUMPRODUCT((L282&gt;'Tax Tables'!$A$5:$A$17)*(L282-'Tax Tables'!$A$5:$A$17)*'Tax Tables'!$C$5:$C$17)</f>
        <v>9975</v>
      </c>
      <c r="N282" s="11" t="n">
        <f aca="false">IF(H282&lt;0,-1E+099,A282-E282-M282+J282+(E282+F282)*Calculator!$B$9)</f>
        <v>362315</v>
      </c>
      <c r="O282" s="2"/>
      <c r="P282" s="11" t="n">
        <f aca="false">269*$B$3</f>
        <v>134500</v>
      </c>
      <c r="Q282" s="11" t="n">
        <f aca="false">MIN(P282,'Tax Tables'!$B$31*'Tax Tables'!$B$32)</f>
        <v>96000</v>
      </c>
      <c r="R282" s="11" t="n">
        <f aca="false">P282-Q282</f>
        <v>38500</v>
      </c>
      <c r="S282" s="11" t="n">
        <f aca="false">IF(Calculator!$B$6="Yes",MIN(Q282,'Tax Tables'!$B$31*'Tax Tables'!$B$32),0)</f>
        <v>96000</v>
      </c>
      <c r="T282" s="11" t="n">
        <f aca="false">S282*Calculator!$B$7</f>
        <v>19200</v>
      </c>
      <c r="U282" s="11" t="n">
        <f aca="false">S282*Calculator!$B$8</f>
        <v>16320</v>
      </c>
      <c r="V282" s="11" t="n">
        <f aca="false">IF(Q282&gt;0,'Tax Tables'!$B$32*MIN(MAX(Q282/'Tax Tables'!$B$32*'Tax Tables'!$B$33,'Tax Tables'!$B$34),'Tax Tables'!$B$35),0)</f>
        <v>135</v>
      </c>
      <c r="W282" s="11" t="n">
        <f aca="false">Calculator!$B$5-P282-U282-V282</f>
        <v>249045</v>
      </c>
      <c r="X282" s="11" t="n">
        <f aca="false">'Tax Tables'!$B$22*(MAX(W282,0)-IF(Calculator!$B$10="Yes",MIN(MAX(W282,0),'Tax Tables'!$B$27)*'Tax Tables'!$B$28+MIN(MAX(MAX(W282,0)-'Tax Tables'!$B$27,0),'Tax Tables'!$B$29)*'Tax Tables'!$B$30,MIN(MAX(W282,0),'Tax Tables'!$B$23)*'Tax Tables'!$B$24+MIN(MAX(MAX(W282,0)-'Tax Tables'!$B$23,0),'Tax Tables'!$B$25)*'Tax Tables'!$B$26))*1-MIN('Tax Tables'!$B$22*(MAX(W282,0)-IF(Calculator!$B$10="Yes",MIN(MAX(W282,0),'Tax Tables'!$B$27)*'Tax Tables'!$B$28+MIN(MAX(MAX(W282,0)-'Tax Tables'!$B$27,0),'Tax Tables'!$B$29)*'Tax Tables'!$B$30,MIN(MAX(W282,0),'Tax Tables'!$B$23)*'Tax Tables'!$B$24+MIN(MAX(MAX(W282,0)-'Tax Tables'!$B$23,0),'Tax Tables'!$B$25)*'Tax Tables'!$B$26))*Calculator!$B$11,Calculator!$B$12)</f>
        <v>24912.65</v>
      </c>
      <c r="Y282" s="11" t="n">
        <f aca="false">MAX(W282,0)-X282</f>
        <v>224132.35</v>
      </c>
      <c r="Z282" s="11" t="n">
        <f aca="false">MIN(IF(P282&gt;0,Calculator!$B$13,0)+T282+Calculator!$B$14,'Tax Tables'!$B$36)</f>
        <v>20200</v>
      </c>
      <c r="AA282" s="11" t="n">
        <f aca="false">MAX(P282-Z282,0)</f>
        <v>114300</v>
      </c>
      <c r="AB282" s="11" t="n">
        <f aca="false">SUMPRODUCT((AA282&gt;'Tax Tables'!$A$5:$A$17)*(AA282-'Tax Tables'!$A$5:$A$17)*'Tax Tables'!$C$5:$C$17)</f>
        <v>7294.5</v>
      </c>
      <c r="AC282" s="11" t="n">
        <f aca="false">IF(W282&lt;0,-1E+099,P282-T282-AB282+Y282+(T282+U282)*Calculator!$B$9)</f>
        <v>367657.85</v>
      </c>
    </row>
    <row r="283" customFormat="false" ht="15" hidden="false" customHeight="false" outlineLevel="0" collapsed="false">
      <c r="A283" s="11" t="n">
        <f aca="false">270*$B$3</f>
        <v>135000</v>
      </c>
      <c r="B283" s="11" t="n">
        <f aca="false">0</f>
        <v>0</v>
      </c>
      <c r="C283" s="11" t="n">
        <f aca="false">A283-B283</f>
        <v>135000</v>
      </c>
      <c r="D283" s="11" t="n">
        <f aca="false">IF(Calculator!$B$6="Yes",MIN(B283,'Tax Tables'!$B$31*'Tax Tables'!$B$32),0)</f>
        <v>0</v>
      </c>
      <c r="E283" s="11" t="n">
        <f aca="false">D283*Calculator!$B$7</f>
        <v>0</v>
      </c>
      <c r="F283" s="11" t="n">
        <f aca="false">D283*Calculator!$B$8</f>
        <v>0</v>
      </c>
      <c r="G283" s="11" t="n">
        <f aca="false">IF(B283&gt;0,'Tax Tables'!$B$32*MIN(MAX(B283/'Tax Tables'!$B$32*'Tax Tables'!$B$33,'Tax Tables'!$B$34),'Tax Tables'!$B$35),0)</f>
        <v>0</v>
      </c>
      <c r="H283" s="11" t="n">
        <f aca="false">Calculator!$B$5-A283-F283-G283</f>
        <v>265000</v>
      </c>
      <c r="I283" s="11" t="n">
        <f aca="false">'Tax Tables'!$B$22*(MAX(H283,0)-IF(Calculator!$B$10="Yes",MIN(MAX(H283,0),'Tax Tables'!$B$27)*'Tax Tables'!$B$28+MIN(MAX(MAX(H283,0)-'Tax Tables'!$B$27,0),'Tax Tables'!$B$29)*'Tax Tables'!$B$30,MIN(MAX(H283,0),'Tax Tables'!$B$23)*'Tax Tables'!$B$24+MIN(MAX(MAX(H283,0)-'Tax Tables'!$B$23,0),'Tax Tables'!$B$25)*'Tax Tables'!$B$26))*1-MIN('Tax Tables'!$B$22*(MAX(H283,0)-IF(Calculator!$B$10="Yes",MIN(MAX(H283,0),'Tax Tables'!$B$27)*'Tax Tables'!$B$28+MIN(MAX(MAX(H283,0)-'Tax Tables'!$B$27,0),'Tax Tables'!$B$29)*'Tax Tables'!$B$30,MIN(MAX(H283,0),'Tax Tables'!$B$23)*'Tax Tables'!$B$24+MIN(MAX(MAX(H283,0)-'Tax Tables'!$B$23,0),'Tax Tables'!$B$25)*'Tax Tables'!$B$26))*Calculator!$B$11,Calculator!$B$12)</f>
        <v>27625</v>
      </c>
      <c r="J283" s="11" t="n">
        <f aca="false">MAX(H283,0)-I283</f>
        <v>237375</v>
      </c>
      <c r="K283" s="11" t="n">
        <f aca="false">MIN(IF(A283&gt;0,Calculator!$B$13,0)+E283+Calculator!$B$14,'Tax Tables'!$B$36)</f>
        <v>1000</v>
      </c>
      <c r="L283" s="11" t="n">
        <f aca="false">MAX(A283-K283,0)</f>
        <v>134000</v>
      </c>
      <c r="M283" s="11" t="n">
        <f aca="false">SUMPRODUCT((L283&gt;'Tax Tables'!$A$5:$A$17)*(L283-'Tax Tables'!$A$5:$A$17)*'Tax Tables'!$C$5:$C$17)</f>
        <v>10050</v>
      </c>
      <c r="N283" s="11" t="n">
        <f aca="false">IF(H283&lt;0,-1E+099,A283-E283-M283+J283+(E283+F283)*Calculator!$B$9)</f>
        <v>362325</v>
      </c>
      <c r="O283" s="2"/>
      <c r="P283" s="11" t="n">
        <f aca="false">270*$B$3</f>
        <v>135000</v>
      </c>
      <c r="Q283" s="11" t="n">
        <f aca="false">MIN(P283,'Tax Tables'!$B$31*'Tax Tables'!$B$32)</f>
        <v>96000</v>
      </c>
      <c r="R283" s="11" t="n">
        <f aca="false">P283-Q283</f>
        <v>39000</v>
      </c>
      <c r="S283" s="11" t="n">
        <f aca="false">IF(Calculator!$B$6="Yes",MIN(Q283,'Tax Tables'!$B$31*'Tax Tables'!$B$32),0)</f>
        <v>96000</v>
      </c>
      <c r="T283" s="11" t="n">
        <f aca="false">S283*Calculator!$B$7</f>
        <v>19200</v>
      </c>
      <c r="U283" s="11" t="n">
        <f aca="false">S283*Calculator!$B$8</f>
        <v>16320</v>
      </c>
      <c r="V283" s="11" t="n">
        <f aca="false">IF(Q283&gt;0,'Tax Tables'!$B$32*MIN(MAX(Q283/'Tax Tables'!$B$32*'Tax Tables'!$B$33,'Tax Tables'!$B$34),'Tax Tables'!$B$35),0)</f>
        <v>135</v>
      </c>
      <c r="W283" s="11" t="n">
        <f aca="false">Calculator!$B$5-P283-U283-V283</f>
        <v>248545</v>
      </c>
      <c r="X283" s="11" t="n">
        <f aca="false">'Tax Tables'!$B$22*(MAX(W283,0)-IF(Calculator!$B$10="Yes",MIN(MAX(W283,0),'Tax Tables'!$B$27)*'Tax Tables'!$B$28+MIN(MAX(MAX(W283,0)-'Tax Tables'!$B$27,0),'Tax Tables'!$B$29)*'Tax Tables'!$B$30,MIN(MAX(W283,0),'Tax Tables'!$B$23)*'Tax Tables'!$B$24+MIN(MAX(MAX(W283,0)-'Tax Tables'!$B$23,0),'Tax Tables'!$B$25)*'Tax Tables'!$B$26))*1-MIN('Tax Tables'!$B$22*(MAX(W283,0)-IF(Calculator!$B$10="Yes",MIN(MAX(W283,0),'Tax Tables'!$B$27)*'Tax Tables'!$B$28+MIN(MAX(MAX(W283,0)-'Tax Tables'!$B$27,0),'Tax Tables'!$B$29)*'Tax Tables'!$B$30,MIN(MAX(W283,0),'Tax Tables'!$B$23)*'Tax Tables'!$B$24+MIN(MAX(MAX(W283,0)-'Tax Tables'!$B$23,0),'Tax Tables'!$B$25)*'Tax Tables'!$B$26))*Calculator!$B$11,Calculator!$B$12)</f>
        <v>24827.65</v>
      </c>
      <c r="Y283" s="11" t="n">
        <f aca="false">MAX(W283,0)-X283</f>
        <v>223717.35</v>
      </c>
      <c r="Z283" s="11" t="n">
        <f aca="false">MIN(IF(P283&gt;0,Calculator!$B$13,0)+T283+Calculator!$B$14,'Tax Tables'!$B$36)</f>
        <v>20200</v>
      </c>
      <c r="AA283" s="11" t="n">
        <f aca="false">MAX(P283-Z283,0)</f>
        <v>114800</v>
      </c>
      <c r="AB283" s="11" t="n">
        <f aca="false">SUMPRODUCT((AA283&gt;'Tax Tables'!$A$5:$A$17)*(AA283-'Tax Tables'!$A$5:$A$17)*'Tax Tables'!$C$5:$C$17)</f>
        <v>7352</v>
      </c>
      <c r="AC283" s="11" t="n">
        <f aca="false">IF(W283&lt;0,-1E+099,P283-T283-AB283+Y283+(T283+U283)*Calculator!$B$9)</f>
        <v>367685.35</v>
      </c>
    </row>
    <row r="284" customFormat="false" ht="15" hidden="false" customHeight="false" outlineLevel="0" collapsed="false">
      <c r="A284" s="11" t="n">
        <f aca="false">271*$B$3</f>
        <v>135500</v>
      </c>
      <c r="B284" s="11" t="n">
        <f aca="false">0</f>
        <v>0</v>
      </c>
      <c r="C284" s="11" t="n">
        <f aca="false">A284-B284</f>
        <v>135500</v>
      </c>
      <c r="D284" s="11" t="n">
        <f aca="false">IF(Calculator!$B$6="Yes",MIN(B284,'Tax Tables'!$B$31*'Tax Tables'!$B$32),0)</f>
        <v>0</v>
      </c>
      <c r="E284" s="11" t="n">
        <f aca="false">D284*Calculator!$B$7</f>
        <v>0</v>
      </c>
      <c r="F284" s="11" t="n">
        <f aca="false">D284*Calculator!$B$8</f>
        <v>0</v>
      </c>
      <c r="G284" s="11" t="n">
        <f aca="false">IF(B284&gt;0,'Tax Tables'!$B$32*MIN(MAX(B284/'Tax Tables'!$B$32*'Tax Tables'!$B$33,'Tax Tables'!$B$34),'Tax Tables'!$B$35),0)</f>
        <v>0</v>
      </c>
      <c r="H284" s="11" t="n">
        <f aca="false">Calculator!$B$5-A284-F284-G284</f>
        <v>264500</v>
      </c>
      <c r="I284" s="11" t="n">
        <f aca="false">'Tax Tables'!$B$22*(MAX(H284,0)-IF(Calculator!$B$10="Yes",MIN(MAX(H284,0),'Tax Tables'!$B$27)*'Tax Tables'!$B$28+MIN(MAX(MAX(H284,0)-'Tax Tables'!$B$27,0),'Tax Tables'!$B$29)*'Tax Tables'!$B$30,MIN(MAX(H284,0),'Tax Tables'!$B$23)*'Tax Tables'!$B$24+MIN(MAX(MAX(H284,0)-'Tax Tables'!$B$23,0),'Tax Tables'!$B$25)*'Tax Tables'!$B$26))*1-MIN('Tax Tables'!$B$22*(MAX(H284,0)-IF(Calculator!$B$10="Yes",MIN(MAX(H284,0),'Tax Tables'!$B$27)*'Tax Tables'!$B$28+MIN(MAX(MAX(H284,0)-'Tax Tables'!$B$27,0),'Tax Tables'!$B$29)*'Tax Tables'!$B$30,MIN(MAX(H284,0),'Tax Tables'!$B$23)*'Tax Tables'!$B$24+MIN(MAX(MAX(H284,0)-'Tax Tables'!$B$23,0),'Tax Tables'!$B$25)*'Tax Tables'!$B$26))*Calculator!$B$11,Calculator!$B$12)</f>
        <v>27540</v>
      </c>
      <c r="J284" s="11" t="n">
        <f aca="false">MAX(H284,0)-I284</f>
        <v>236960</v>
      </c>
      <c r="K284" s="11" t="n">
        <f aca="false">MIN(IF(A284&gt;0,Calculator!$B$13,0)+E284+Calculator!$B$14,'Tax Tables'!$B$36)</f>
        <v>1000</v>
      </c>
      <c r="L284" s="11" t="n">
        <f aca="false">MAX(A284-K284,0)</f>
        <v>134500</v>
      </c>
      <c r="M284" s="11" t="n">
        <f aca="false">SUMPRODUCT((L284&gt;'Tax Tables'!$A$5:$A$17)*(L284-'Tax Tables'!$A$5:$A$17)*'Tax Tables'!$C$5:$C$17)</f>
        <v>10125</v>
      </c>
      <c r="N284" s="11" t="n">
        <f aca="false">IF(H284&lt;0,-1E+099,A284-E284-M284+J284+(E284+F284)*Calculator!$B$9)</f>
        <v>362335</v>
      </c>
      <c r="O284" s="2"/>
      <c r="P284" s="11" t="n">
        <f aca="false">271*$B$3</f>
        <v>135500</v>
      </c>
      <c r="Q284" s="11" t="n">
        <f aca="false">MIN(P284,'Tax Tables'!$B$31*'Tax Tables'!$B$32)</f>
        <v>96000</v>
      </c>
      <c r="R284" s="11" t="n">
        <f aca="false">P284-Q284</f>
        <v>39500</v>
      </c>
      <c r="S284" s="11" t="n">
        <f aca="false">IF(Calculator!$B$6="Yes",MIN(Q284,'Tax Tables'!$B$31*'Tax Tables'!$B$32),0)</f>
        <v>96000</v>
      </c>
      <c r="T284" s="11" t="n">
        <f aca="false">S284*Calculator!$B$7</f>
        <v>19200</v>
      </c>
      <c r="U284" s="11" t="n">
        <f aca="false">S284*Calculator!$B$8</f>
        <v>16320</v>
      </c>
      <c r="V284" s="11" t="n">
        <f aca="false">IF(Q284&gt;0,'Tax Tables'!$B$32*MIN(MAX(Q284/'Tax Tables'!$B$32*'Tax Tables'!$B$33,'Tax Tables'!$B$34),'Tax Tables'!$B$35),0)</f>
        <v>135</v>
      </c>
      <c r="W284" s="11" t="n">
        <f aca="false">Calculator!$B$5-P284-U284-V284</f>
        <v>248045</v>
      </c>
      <c r="X284" s="11" t="n">
        <f aca="false">'Tax Tables'!$B$22*(MAX(W284,0)-IF(Calculator!$B$10="Yes",MIN(MAX(W284,0),'Tax Tables'!$B$27)*'Tax Tables'!$B$28+MIN(MAX(MAX(W284,0)-'Tax Tables'!$B$27,0),'Tax Tables'!$B$29)*'Tax Tables'!$B$30,MIN(MAX(W284,0),'Tax Tables'!$B$23)*'Tax Tables'!$B$24+MIN(MAX(MAX(W284,0)-'Tax Tables'!$B$23,0),'Tax Tables'!$B$25)*'Tax Tables'!$B$26))*1-MIN('Tax Tables'!$B$22*(MAX(W284,0)-IF(Calculator!$B$10="Yes",MIN(MAX(W284,0),'Tax Tables'!$B$27)*'Tax Tables'!$B$28+MIN(MAX(MAX(W284,0)-'Tax Tables'!$B$27,0),'Tax Tables'!$B$29)*'Tax Tables'!$B$30,MIN(MAX(W284,0),'Tax Tables'!$B$23)*'Tax Tables'!$B$24+MIN(MAX(MAX(W284,0)-'Tax Tables'!$B$23,0),'Tax Tables'!$B$25)*'Tax Tables'!$B$26))*Calculator!$B$11,Calculator!$B$12)</f>
        <v>24742.65</v>
      </c>
      <c r="Y284" s="11" t="n">
        <f aca="false">MAX(W284,0)-X284</f>
        <v>223302.35</v>
      </c>
      <c r="Z284" s="11" t="n">
        <f aca="false">MIN(IF(P284&gt;0,Calculator!$B$13,0)+T284+Calculator!$B$14,'Tax Tables'!$B$36)</f>
        <v>20200</v>
      </c>
      <c r="AA284" s="11" t="n">
        <f aca="false">MAX(P284-Z284,0)</f>
        <v>115300</v>
      </c>
      <c r="AB284" s="11" t="n">
        <f aca="false">SUMPRODUCT((AA284&gt;'Tax Tables'!$A$5:$A$17)*(AA284-'Tax Tables'!$A$5:$A$17)*'Tax Tables'!$C$5:$C$17)</f>
        <v>7409.5</v>
      </c>
      <c r="AC284" s="11" t="n">
        <f aca="false">IF(W284&lt;0,-1E+099,P284-T284-AB284+Y284+(T284+U284)*Calculator!$B$9)</f>
        <v>367712.85</v>
      </c>
    </row>
    <row r="285" customFormat="false" ht="15" hidden="false" customHeight="false" outlineLevel="0" collapsed="false">
      <c r="A285" s="11" t="n">
        <f aca="false">272*$B$3</f>
        <v>136000</v>
      </c>
      <c r="B285" s="11" t="n">
        <f aca="false">0</f>
        <v>0</v>
      </c>
      <c r="C285" s="11" t="n">
        <f aca="false">A285-B285</f>
        <v>136000</v>
      </c>
      <c r="D285" s="11" t="n">
        <f aca="false">IF(Calculator!$B$6="Yes",MIN(B285,'Tax Tables'!$B$31*'Tax Tables'!$B$32),0)</f>
        <v>0</v>
      </c>
      <c r="E285" s="11" t="n">
        <f aca="false">D285*Calculator!$B$7</f>
        <v>0</v>
      </c>
      <c r="F285" s="11" t="n">
        <f aca="false">D285*Calculator!$B$8</f>
        <v>0</v>
      </c>
      <c r="G285" s="11" t="n">
        <f aca="false">IF(B285&gt;0,'Tax Tables'!$B$32*MIN(MAX(B285/'Tax Tables'!$B$32*'Tax Tables'!$B$33,'Tax Tables'!$B$34),'Tax Tables'!$B$35),0)</f>
        <v>0</v>
      </c>
      <c r="H285" s="11" t="n">
        <f aca="false">Calculator!$B$5-A285-F285-G285</f>
        <v>264000</v>
      </c>
      <c r="I285" s="11" t="n">
        <f aca="false">'Tax Tables'!$B$22*(MAX(H285,0)-IF(Calculator!$B$10="Yes",MIN(MAX(H285,0),'Tax Tables'!$B$27)*'Tax Tables'!$B$28+MIN(MAX(MAX(H285,0)-'Tax Tables'!$B$27,0),'Tax Tables'!$B$29)*'Tax Tables'!$B$30,MIN(MAX(H285,0),'Tax Tables'!$B$23)*'Tax Tables'!$B$24+MIN(MAX(MAX(H285,0)-'Tax Tables'!$B$23,0),'Tax Tables'!$B$25)*'Tax Tables'!$B$26))*1-MIN('Tax Tables'!$B$22*(MAX(H285,0)-IF(Calculator!$B$10="Yes",MIN(MAX(H285,0),'Tax Tables'!$B$27)*'Tax Tables'!$B$28+MIN(MAX(MAX(H285,0)-'Tax Tables'!$B$27,0),'Tax Tables'!$B$29)*'Tax Tables'!$B$30,MIN(MAX(H285,0),'Tax Tables'!$B$23)*'Tax Tables'!$B$24+MIN(MAX(MAX(H285,0)-'Tax Tables'!$B$23,0),'Tax Tables'!$B$25)*'Tax Tables'!$B$26))*Calculator!$B$11,Calculator!$B$12)</f>
        <v>27455</v>
      </c>
      <c r="J285" s="11" t="n">
        <f aca="false">MAX(H285,0)-I285</f>
        <v>236545</v>
      </c>
      <c r="K285" s="11" t="n">
        <f aca="false">MIN(IF(A285&gt;0,Calculator!$B$13,0)+E285+Calculator!$B$14,'Tax Tables'!$B$36)</f>
        <v>1000</v>
      </c>
      <c r="L285" s="11" t="n">
        <f aca="false">MAX(A285-K285,0)</f>
        <v>135000</v>
      </c>
      <c r="M285" s="11" t="n">
        <f aca="false">SUMPRODUCT((L285&gt;'Tax Tables'!$A$5:$A$17)*(L285-'Tax Tables'!$A$5:$A$17)*'Tax Tables'!$C$5:$C$17)</f>
        <v>10200</v>
      </c>
      <c r="N285" s="11" t="n">
        <f aca="false">IF(H285&lt;0,-1E+099,A285-E285-M285+J285+(E285+F285)*Calculator!$B$9)</f>
        <v>362345</v>
      </c>
      <c r="O285" s="2"/>
      <c r="P285" s="11" t="n">
        <f aca="false">272*$B$3</f>
        <v>136000</v>
      </c>
      <c r="Q285" s="11" t="n">
        <f aca="false">MIN(P285,'Tax Tables'!$B$31*'Tax Tables'!$B$32)</f>
        <v>96000</v>
      </c>
      <c r="R285" s="11" t="n">
        <f aca="false">P285-Q285</f>
        <v>40000</v>
      </c>
      <c r="S285" s="11" t="n">
        <f aca="false">IF(Calculator!$B$6="Yes",MIN(Q285,'Tax Tables'!$B$31*'Tax Tables'!$B$32),0)</f>
        <v>96000</v>
      </c>
      <c r="T285" s="11" t="n">
        <f aca="false">S285*Calculator!$B$7</f>
        <v>19200</v>
      </c>
      <c r="U285" s="11" t="n">
        <f aca="false">S285*Calculator!$B$8</f>
        <v>16320</v>
      </c>
      <c r="V285" s="11" t="n">
        <f aca="false">IF(Q285&gt;0,'Tax Tables'!$B$32*MIN(MAX(Q285/'Tax Tables'!$B$32*'Tax Tables'!$B$33,'Tax Tables'!$B$34),'Tax Tables'!$B$35),0)</f>
        <v>135</v>
      </c>
      <c r="W285" s="11" t="n">
        <f aca="false">Calculator!$B$5-P285-U285-V285</f>
        <v>247545</v>
      </c>
      <c r="X285" s="11" t="n">
        <f aca="false">'Tax Tables'!$B$22*(MAX(W285,0)-IF(Calculator!$B$10="Yes",MIN(MAX(W285,0),'Tax Tables'!$B$27)*'Tax Tables'!$B$28+MIN(MAX(MAX(W285,0)-'Tax Tables'!$B$27,0),'Tax Tables'!$B$29)*'Tax Tables'!$B$30,MIN(MAX(W285,0),'Tax Tables'!$B$23)*'Tax Tables'!$B$24+MIN(MAX(MAX(W285,0)-'Tax Tables'!$B$23,0),'Tax Tables'!$B$25)*'Tax Tables'!$B$26))*1-MIN('Tax Tables'!$B$22*(MAX(W285,0)-IF(Calculator!$B$10="Yes",MIN(MAX(W285,0),'Tax Tables'!$B$27)*'Tax Tables'!$B$28+MIN(MAX(MAX(W285,0)-'Tax Tables'!$B$27,0),'Tax Tables'!$B$29)*'Tax Tables'!$B$30,MIN(MAX(W285,0),'Tax Tables'!$B$23)*'Tax Tables'!$B$24+MIN(MAX(MAX(W285,0)-'Tax Tables'!$B$23,0),'Tax Tables'!$B$25)*'Tax Tables'!$B$26))*Calculator!$B$11,Calculator!$B$12)</f>
        <v>24657.65</v>
      </c>
      <c r="Y285" s="11" t="n">
        <f aca="false">MAX(W285,0)-X285</f>
        <v>222887.35</v>
      </c>
      <c r="Z285" s="11" t="n">
        <f aca="false">MIN(IF(P285&gt;0,Calculator!$B$13,0)+T285+Calculator!$B$14,'Tax Tables'!$B$36)</f>
        <v>20200</v>
      </c>
      <c r="AA285" s="11" t="n">
        <f aca="false">MAX(P285-Z285,0)</f>
        <v>115800</v>
      </c>
      <c r="AB285" s="11" t="n">
        <f aca="false">SUMPRODUCT((AA285&gt;'Tax Tables'!$A$5:$A$17)*(AA285-'Tax Tables'!$A$5:$A$17)*'Tax Tables'!$C$5:$C$17)</f>
        <v>7467</v>
      </c>
      <c r="AC285" s="11" t="n">
        <f aca="false">IF(W285&lt;0,-1E+099,P285-T285-AB285+Y285+(T285+U285)*Calculator!$B$9)</f>
        <v>367740.35</v>
      </c>
    </row>
    <row r="286" customFormat="false" ht="15" hidden="false" customHeight="false" outlineLevel="0" collapsed="false">
      <c r="A286" s="11" t="n">
        <f aca="false">273*$B$3</f>
        <v>136500</v>
      </c>
      <c r="B286" s="11" t="n">
        <f aca="false">0</f>
        <v>0</v>
      </c>
      <c r="C286" s="11" t="n">
        <f aca="false">A286-B286</f>
        <v>136500</v>
      </c>
      <c r="D286" s="11" t="n">
        <f aca="false">IF(Calculator!$B$6="Yes",MIN(B286,'Tax Tables'!$B$31*'Tax Tables'!$B$32),0)</f>
        <v>0</v>
      </c>
      <c r="E286" s="11" t="n">
        <f aca="false">D286*Calculator!$B$7</f>
        <v>0</v>
      </c>
      <c r="F286" s="11" t="n">
        <f aca="false">D286*Calculator!$B$8</f>
        <v>0</v>
      </c>
      <c r="G286" s="11" t="n">
        <f aca="false">IF(B286&gt;0,'Tax Tables'!$B$32*MIN(MAX(B286/'Tax Tables'!$B$32*'Tax Tables'!$B$33,'Tax Tables'!$B$34),'Tax Tables'!$B$35),0)</f>
        <v>0</v>
      </c>
      <c r="H286" s="11" t="n">
        <f aca="false">Calculator!$B$5-A286-F286-G286</f>
        <v>263500</v>
      </c>
      <c r="I286" s="11" t="n">
        <f aca="false">'Tax Tables'!$B$22*(MAX(H286,0)-IF(Calculator!$B$10="Yes",MIN(MAX(H286,0),'Tax Tables'!$B$27)*'Tax Tables'!$B$28+MIN(MAX(MAX(H286,0)-'Tax Tables'!$B$27,0),'Tax Tables'!$B$29)*'Tax Tables'!$B$30,MIN(MAX(H286,0),'Tax Tables'!$B$23)*'Tax Tables'!$B$24+MIN(MAX(MAX(H286,0)-'Tax Tables'!$B$23,0),'Tax Tables'!$B$25)*'Tax Tables'!$B$26))*1-MIN('Tax Tables'!$B$22*(MAX(H286,0)-IF(Calculator!$B$10="Yes",MIN(MAX(H286,0),'Tax Tables'!$B$27)*'Tax Tables'!$B$28+MIN(MAX(MAX(H286,0)-'Tax Tables'!$B$27,0),'Tax Tables'!$B$29)*'Tax Tables'!$B$30,MIN(MAX(H286,0),'Tax Tables'!$B$23)*'Tax Tables'!$B$24+MIN(MAX(MAX(H286,0)-'Tax Tables'!$B$23,0),'Tax Tables'!$B$25)*'Tax Tables'!$B$26))*Calculator!$B$11,Calculator!$B$12)</f>
        <v>27370</v>
      </c>
      <c r="J286" s="11" t="n">
        <f aca="false">MAX(H286,0)-I286</f>
        <v>236130</v>
      </c>
      <c r="K286" s="11" t="n">
        <f aca="false">MIN(IF(A286&gt;0,Calculator!$B$13,0)+E286+Calculator!$B$14,'Tax Tables'!$B$36)</f>
        <v>1000</v>
      </c>
      <c r="L286" s="11" t="n">
        <f aca="false">MAX(A286-K286,0)</f>
        <v>135500</v>
      </c>
      <c r="M286" s="11" t="n">
        <f aca="false">SUMPRODUCT((L286&gt;'Tax Tables'!$A$5:$A$17)*(L286-'Tax Tables'!$A$5:$A$17)*'Tax Tables'!$C$5:$C$17)</f>
        <v>10275</v>
      </c>
      <c r="N286" s="11" t="n">
        <f aca="false">IF(H286&lt;0,-1E+099,A286-E286-M286+J286+(E286+F286)*Calculator!$B$9)</f>
        <v>362355</v>
      </c>
      <c r="O286" s="2"/>
      <c r="P286" s="11" t="n">
        <f aca="false">273*$B$3</f>
        <v>136500</v>
      </c>
      <c r="Q286" s="11" t="n">
        <f aca="false">MIN(P286,'Tax Tables'!$B$31*'Tax Tables'!$B$32)</f>
        <v>96000</v>
      </c>
      <c r="R286" s="11" t="n">
        <f aca="false">P286-Q286</f>
        <v>40500</v>
      </c>
      <c r="S286" s="11" t="n">
        <f aca="false">IF(Calculator!$B$6="Yes",MIN(Q286,'Tax Tables'!$B$31*'Tax Tables'!$B$32),0)</f>
        <v>96000</v>
      </c>
      <c r="T286" s="11" t="n">
        <f aca="false">S286*Calculator!$B$7</f>
        <v>19200</v>
      </c>
      <c r="U286" s="11" t="n">
        <f aca="false">S286*Calculator!$B$8</f>
        <v>16320</v>
      </c>
      <c r="V286" s="11" t="n">
        <f aca="false">IF(Q286&gt;0,'Tax Tables'!$B$32*MIN(MAX(Q286/'Tax Tables'!$B$32*'Tax Tables'!$B$33,'Tax Tables'!$B$34),'Tax Tables'!$B$35),0)</f>
        <v>135</v>
      </c>
      <c r="W286" s="11" t="n">
        <f aca="false">Calculator!$B$5-P286-U286-V286</f>
        <v>247045</v>
      </c>
      <c r="X286" s="11" t="n">
        <f aca="false">'Tax Tables'!$B$22*(MAX(W286,0)-IF(Calculator!$B$10="Yes",MIN(MAX(W286,0),'Tax Tables'!$B$27)*'Tax Tables'!$B$28+MIN(MAX(MAX(W286,0)-'Tax Tables'!$B$27,0),'Tax Tables'!$B$29)*'Tax Tables'!$B$30,MIN(MAX(W286,0),'Tax Tables'!$B$23)*'Tax Tables'!$B$24+MIN(MAX(MAX(W286,0)-'Tax Tables'!$B$23,0),'Tax Tables'!$B$25)*'Tax Tables'!$B$26))*1-MIN('Tax Tables'!$B$22*(MAX(W286,0)-IF(Calculator!$B$10="Yes",MIN(MAX(W286,0),'Tax Tables'!$B$27)*'Tax Tables'!$B$28+MIN(MAX(MAX(W286,0)-'Tax Tables'!$B$27,0),'Tax Tables'!$B$29)*'Tax Tables'!$B$30,MIN(MAX(W286,0),'Tax Tables'!$B$23)*'Tax Tables'!$B$24+MIN(MAX(MAX(W286,0)-'Tax Tables'!$B$23,0),'Tax Tables'!$B$25)*'Tax Tables'!$B$26))*Calculator!$B$11,Calculator!$B$12)</f>
        <v>24572.65</v>
      </c>
      <c r="Y286" s="11" t="n">
        <f aca="false">MAX(W286,0)-X286</f>
        <v>222472.35</v>
      </c>
      <c r="Z286" s="11" t="n">
        <f aca="false">MIN(IF(P286&gt;0,Calculator!$B$13,0)+T286+Calculator!$B$14,'Tax Tables'!$B$36)</f>
        <v>20200</v>
      </c>
      <c r="AA286" s="11" t="n">
        <f aca="false">MAX(P286-Z286,0)</f>
        <v>116300</v>
      </c>
      <c r="AB286" s="11" t="n">
        <f aca="false">SUMPRODUCT((AA286&gt;'Tax Tables'!$A$5:$A$17)*(AA286-'Tax Tables'!$A$5:$A$17)*'Tax Tables'!$C$5:$C$17)</f>
        <v>7524.5</v>
      </c>
      <c r="AC286" s="11" t="n">
        <f aca="false">IF(W286&lt;0,-1E+099,P286-T286-AB286+Y286+(T286+U286)*Calculator!$B$9)</f>
        <v>367767.85</v>
      </c>
    </row>
    <row r="287" customFormat="false" ht="15" hidden="false" customHeight="false" outlineLevel="0" collapsed="false">
      <c r="A287" s="11" t="n">
        <f aca="false">274*$B$3</f>
        <v>137000</v>
      </c>
      <c r="B287" s="11" t="n">
        <f aca="false">0</f>
        <v>0</v>
      </c>
      <c r="C287" s="11" t="n">
        <f aca="false">A287-B287</f>
        <v>137000</v>
      </c>
      <c r="D287" s="11" t="n">
        <f aca="false">IF(Calculator!$B$6="Yes",MIN(B287,'Tax Tables'!$B$31*'Tax Tables'!$B$32),0)</f>
        <v>0</v>
      </c>
      <c r="E287" s="11" t="n">
        <f aca="false">D287*Calculator!$B$7</f>
        <v>0</v>
      </c>
      <c r="F287" s="11" t="n">
        <f aca="false">D287*Calculator!$B$8</f>
        <v>0</v>
      </c>
      <c r="G287" s="11" t="n">
        <f aca="false">IF(B287&gt;0,'Tax Tables'!$B$32*MIN(MAX(B287/'Tax Tables'!$B$32*'Tax Tables'!$B$33,'Tax Tables'!$B$34),'Tax Tables'!$B$35),0)</f>
        <v>0</v>
      </c>
      <c r="H287" s="11" t="n">
        <f aca="false">Calculator!$B$5-A287-F287-G287</f>
        <v>263000</v>
      </c>
      <c r="I287" s="11" t="n">
        <f aca="false">'Tax Tables'!$B$22*(MAX(H287,0)-IF(Calculator!$B$10="Yes",MIN(MAX(H287,0),'Tax Tables'!$B$27)*'Tax Tables'!$B$28+MIN(MAX(MAX(H287,0)-'Tax Tables'!$B$27,0),'Tax Tables'!$B$29)*'Tax Tables'!$B$30,MIN(MAX(H287,0),'Tax Tables'!$B$23)*'Tax Tables'!$B$24+MIN(MAX(MAX(H287,0)-'Tax Tables'!$B$23,0),'Tax Tables'!$B$25)*'Tax Tables'!$B$26))*1-MIN('Tax Tables'!$B$22*(MAX(H287,0)-IF(Calculator!$B$10="Yes",MIN(MAX(H287,0),'Tax Tables'!$B$27)*'Tax Tables'!$B$28+MIN(MAX(MAX(H287,0)-'Tax Tables'!$B$27,0),'Tax Tables'!$B$29)*'Tax Tables'!$B$30,MIN(MAX(H287,0),'Tax Tables'!$B$23)*'Tax Tables'!$B$24+MIN(MAX(MAX(H287,0)-'Tax Tables'!$B$23,0),'Tax Tables'!$B$25)*'Tax Tables'!$B$26))*Calculator!$B$11,Calculator!$B$12)</f>
        <v>27285</v>
      </c>
      <c r="J287" s="11" t="n">
        <f aca="false">MAX(H287,0)-I287</f>
        <v>235715</v>
      </c>
      <c r="K287" s="11" t="n">
        <f aca="false">MIN(IF(A287&gt;0,Calculator!$B$13,0)+E287+Calculator!$B$14,'Tax Tables'!$B$36)</f>
        <v>1000</v>
      </c>
      <c r="L287" s="11" t="n">
        <f aca="false">MAX(A287-K287,0)</f>
        <v>136000</v>
      </c>
      <c r="M287" s="11" t="n">
        <f aca="false">SUMPRODUCT((L287&gt;'Tax Tables'!$A$5:$A$17)*(L287-'Tax Tables'!$A$5:$A$17)*'Tax Tables'!$C$5:$C$17)</f>
        <v>10350</v>
      </c>
      <c r="N287" s="11" t="n">
        <f aca="false">IF(H287&lt;0,-1E+099,A287-E287-M287+J287+(E287+F287)*Calculator!$B$9)</f>
        <v>362365</v>
      </c>
      <c r="O287" s="2"/>
      <c r="P287" s="11" t="n">
        <f aca="false">274*$B$3</f>
        <v>137000</v>
      </c>
      <c r="Q287" s="11" t="n">
        <f aca="false">MIN(P287,'Tax Tables'!$B$31*'Tax Tables'!$B$32)</f>
        <v>96000</v>
      </c>
      <c r="R287" s="11" t="n">
        <f aca="false">P287-Q287</f>
        <v>41000</v>
      </c>
      <c r="S287" s="11" t="n">
        <f aca="false">IF(Calculator!$B$6="Yes",MIN(Q287,'Tax Tables'!$B$31*'Tax Tables'!$B$32),0)</f>
        <v>96000</v>
      </c>
      <c r="T287" s="11" t="n">
        <f aca="false">S287*Calculator!$B$7</f>
        <v>19200</v>
      </c>
      <c r="U287" s="11" t="n">
        <f aca="false">S287*Calculator!$B$8</f>
        <v>16320</v>
      </c>
      <c r="V287" s="11" t="n">
        <f aca="false">IF(Q287&gt;0,'Tax Tables'!$B$32*MIN(MAX(Q287/'Tax Tables'!$B$32*'Tax Tables'!$B$33,'Tax Tables'!$B$34),'Tax Tables'!$B$35),0)</f>
        <v>135</v>
      </c>
      <c r="W287" s="11" t="n">
        <f aca="false">Calculator!$B$5-P287-U287-V287</f>
        <v>246545</v>
      </c>
      <c r="X287" s="11" t="n">
        <f aca="false">'Tax Tables'!$B$22*(MAX(W287,0)-IF(Calculator!$B$10="Yes",MIN(MAX(W287,0),'Tax Tables'!$B$27)*'Tax Tables'!$B$28+MIN(MAX(MAX(W287,0)-'Tax Tables'!$B$27,0),'Tax Tables'!$B$29)*'Tax Tables'!$B$30,MIN(MAX(W287,0),'Tax Tables'!$B$23)*'Tax Tables'!$B$24+MIN(MAX(MAX(W287,0)-'Tax Tables'!$B$23,0),'Tax Tables'!$B$25)*'Tax Tables'!$B$26))*1-MIN('Tax Tables'!$B$22*(MAX(W287,0)-IF(Calculator!$B$10="Yes",MIN(MAX(W287,0),'Tax Tables'!$B$27)*'Tax Tables'!$B$28+MIN(MAX(MAX(W287,0)-'Tax Tables'!$B$27,0),'Tax Tables'!$B$29)*'Tax Tables'!$B$30,MIN(MAX(W287,0),'Tax Tables'!$B$23)*'Tax Tables'!$B$24+MIN(MAX(MAX(W287,0)-'Tax Tables'!$B$23,0),'Tax Tables'!$B$25)*'Tax Tables'!$B$26))*Calculator!$B$11,Calculator!$B$12)</f>
        <v>24487.65</v>
      </c>
      <c r="Y287" s="11" t="n">
        <f aca="false">MAX(W287,0)-X287</f>
        <v>222057.35</v>
      </c>
      <c r="Z287" s="11" t="n">
        <f aca="false">MIN(IF(P287&gt;0,Calculator!$B$13,0)+T287+Calculator!$B$14,'Tax Tables'!$B$36)</f>
        <v>20200</v>
      </c>
      <c r="AA287" s="11" t="n">
        <f aca="false">MAX(P287-Z287,0)</f>
        <v>116800</v>
      </c>
      <c r="AB287" s="11" t="n">
        <f aca="false">SUMPRODUCT((AA287&gt;'Tax Tables'!$A$5:$A$17)*(AA287-'Tax Tables'!$A$5:$A$17)*'Tax Tables'!$C$5:$C$17)</f>
        <v>7582</v>
      </c>
      <c r="AC287" s="11" t="n">
        <f aca="false">IF(W287&lt;0,-1E+099,P287-T287-AB287+Y287+(T287+U287)*Calculator!$B$9)</f>
        <v>367795.35</v>
      </c>
    </row>
    <row r="288" customFormat="false" ht="15" hidden="false" customHeight="false" outlineLevel="0" collapsed="false">
      <c r="A288" s="11" t="n">
        <f aca="false">275*$B$3</f>
        <v>137500</v>
      </c>
      <c r="B288" s="11" t="n">
        <f aca="false">0</f>
        <v>0</v>
      </c>
      <c r="C288" s="11" t="n">
        <f aca="false">A288-B288</f>
        <v>137500</v>
      </c>
      <c r="D288" s="11" t="n">
        <f aca="false">IF(Calculator!$B$6="Yes",MIN(B288,'Tax Tables'!$B$31*'Tax Tables'!$B$32),0)</f>
        <v>0</v>
      </c>
      <c r="E288" s="11" t="n">
        <f aca="false">D288*Calculator!$B$7</f>
        <v>0</v>
      </c>
      <c r="F288" s="11" t="n">
        <f aca="false">D288*Calculator!$B$8</f>
        <v>0</v>
      </c>
      <c r="G288" s="11" t="n">
        <f aca="false">IF(B288&gt;0,'Tax Tables'!$B$32*MIN(MAX(B288/'Tax Tables'!$B$32*'Tax Tables'!$B$33,'Tax Tables'!$B$34),'Tax Tables'!$B$35),0)</f>
        <v>0</v>
      </c>
      <c r="H288" s="11" t="n">
        <f aca="false">Calculator!$B$5-A288-F288-G288</f>
        <v>262500</v>
      </c>
      <c r="I288" s="11" t="n">
        <f aca="false">'Tax Tables'!$B$22*(MAX(H288,0)-IF(Calculator!$B$10="Yes",MIN(MAX(H288,0),'Tax Tables'!$B$27)*'Tax Tables'!$B$28+MIN(MAX(MAX(H288,0)-'Tax Tables'!$B$27,0),'Tax Tables'!$B$29)*'Tax Tables'!$B$30,MIN(MAX(H288,0),'Tax Tables'!$B$23)*'Tax Tables'!$B$24+MIN(MAX(MAX(H288,0)-'Tax Tables'!$B$23,0),'Tax Tables'!$B$25)*'Tax Tables'!$B$26))*1-MIN('Tax Tables'!$B$22*(MAX(H288,0)-IF(Calculator!$B$10="Yes",MIN(MAX(H288,0),'Tax Tables'!$B$27)*'Tax Tables'!$B$28+MIN(MAX(MAX(H288,0)-'Tax Tables'!$B$27,0),'Tax Tables'!$B$29)*'Tax Tables'!$B$30,MIN(MAX(H288,0),'Tax Tables'!$B$23)*'Tax Tables'!$B$24+MIN(MAX(MAX(H288,0)-'Tax Tables'!$B$23,0),'Tax Tables'!$B$25)*'Tax Tables'!$B$26))*Calculator!$B$11,Calculator!$B$12)</f>
        <v>27200</v>
      </c>
      <c r="J288" s="11" t="n">
        <f aca="false">MAX(H288,0)-I288</f>
        <v>235300</v>
      </c>
      <c r="K288" s="11" t="n">
        <f aca="false">MIN(IF(A288&gt;0,Calculator!$B$13,0)+E288+Calculator!$B$14,'Tax Tables'!$B$36)</f>
        <v>1000</v>
      </c>
      <c r="L288" s="11" t="n">
        <f aca="false">MAX(A288-K288,0)</f>
        <v>136500</v>
      </c>
      <c r="M288" s="11" t="n">
        <f aca="false">SUMPRODUCT((L288&gt;'Tax Tables'!$A$5:$A$17)*(L288-'Tax Tables'!$A$5:$A$17)*'Tax Tables'!$C$5:$C$17)</f>
        <v>10425</v>
      </c>
      <c r="N288" s="11" t="n">
        <f aca="false">IF(H288&lt;0,-1E+099,A288-E288-M288+J288+(E288+F288)*Calculator!$B$9)</f>
        <v>362375</v>
      </c>
      <c r="O288" s="2"/>
      <c r="P288" s="11" t="n">
        <f aca="false">275*$B$3</f>
        <v>137500</v>
      </c>
      <c r="Q288" s="11" t="n">
        <f aca="false">MIN(P288,'Tax Tables'!$B$31*'Tax Tables'!$B$32)</f>
        <v>96000</v>
      </c>
      <c r="R288" s="11" t="n">
        <f aca="false">P288-Q288</f>
        <v>41500</v>
      </c>
      <c r="S288" s="11" t="n">
        <f aca="false">IF(Calculator!$B$6="Yes",MIN(Q288,'Tax Tables'!$B$31*'Tax Tables'!$B$32),0)</f>
        <v>96000</v>
      </c>
      <c r="T288" s="11" t="n">
        <f aca="false">S288*Calculator!$B$7</f>
        <v>19200</v>
      </c>
      <c r="U288" s="11" t="n">
        <f aca="false">S288*Calculator!$B$8</f>
        <v>16320</v>
      </c>
      <c r="V288" s="11" t="n">
        <f aca="false">IF(Q288&gt;0,'Tax Tables'!$B$32*MIN(MAX(Q288/'Tax Tables'!$B$32*'Tax Tables'!$B$33,'Tax Tables'!$B$34),'Tax Tables'!$B$35),0)</f>
        <v>135</v>
      </c>
      <c r="W288" s="11" t="n">
        <f aca="false">Calculator!$B$5-P288-U288-V288</f>
        <v>246045</v>
      </c>
      <c r="X288" s="11" t="n">
        <f aca="false">'Tax Tables'!$B$22*(MAX(W288,0)-IF(Calculator!$B$10="Yes",MIN(MAX(W288,0),'Tax Tables'!$B$27)*'Tax Tables'!$B$28+MIN(MAX(MAX(W288,0)-'Tax Tables'!$B$27,0),'Tax Tables'!$B$29)*'Tax Tables'!$B$30,MIN(MAX(W288,0),'Tax Tables'!$B$23)*'Tax Tables'!$B$24+MIN(MAX(MAX(W288,0)-'Tax Tables'!$B$23,0),'Tax Tables'!$B$25)*'Tax Tables'!$B$26))*1-MIN('Tax Tables'!$B$22*(MAX(W288,0)-IF(Calculator!$B$10="Yes",MIN(MAX(W288,0),'Tax Tables'!$B$27)*'Tax Tables'!$B$28+MIN(MAX(MAX(W288,0)-'Tax Tables'!$B$27,0),'Tax Tables'!$B$29)*'Tax Tables'!$B$30,MIN(MAX(W288,0),'Tax Tables'!$B$23)*'Tax Tables'!$B$24+MIN(MAX(MAX(W288,0)-'Tax Tables'!$B$23,0),'Tax Tables'!$B$25)*'Tax Tables'!$B$26))*Calculator!$B$11,Calculator!$B$12)</f>
        <v>24402.65</v>
      </c>
      <c r="Y288" s="11" t="n">
        <f aca="false">MAX(W288,0)-X288</f>
        <v>221642.35</v>
      </c>
      <c r="Z288" s="11" t="n">
        <f aca="false">MIN(IF(P288&gt;0,Calculator!$B$13,0)+T288+Calculator!$B$14,'Tax Tables'!$B$36)</f>
        <v>20200</v>
      </c>
      <c r="AA288" s="11" t="n">
        <f aca="false">MAX(P288-Z288,0)</f>
        <v>117300</v>
      </c>
      <c r="AB288" s="11" t="n">
        <f aca="false">SUMPRODUCT((AA288&gt;'Tax Tables'!$A$5:$A$17)*(AA288-'Tax Tables'!$A$5:$A$17)*'Tax Tables'!$C$5:$C$17)</f>
        <v>7639.5</v>
      </c>
      <c r="AC288" s="11" t="n">
        <f aca="false">IF(W288&lt;0,-1E+099,P288-T288-AB288+Y288+(T288+U288)*Calculator!$B$9)</f>
        <v>367822.85</v>
      </c>
    </row>
    <row r="289" customFormat="false" ht="15" hidden="false" customHeight="false" outlineLevel="0" collapsed="false">
      <c r="A289" s="11" t="n">
        <f aca="false">276*$B$3</f>
        <v>138000</v>
      </c>
      <c r="B289" s="11" t="n">
        <f aca="false">0</f>
        <v>0</v>
      </c>
      <c r="C289" s="11" t="n">
        <f aca="false">A289-B289</f>
        <v>138000</v>
      </c>
      <c r="D289" s="11" t="n">
        <f aca="false">IF(Calculator!$B$6="Yes",MIN(B289,'Tax Tables'!$B$31*'Tax Tables'!$B$32),0)</f>
        <v>0</v>
      </c>
      <c r="E289" s="11" t="n">
        <f aca="false">D289*Calculator!$B$7</f>
        <v>0</v>
      </c>
      <c r="F289" s="11" t="n">
        <f aca="false">D289*Calculator!$B$8</f>
        <v>0</v>
      </c>
      <c r="G289" s="11" t="n">
        <f aca="false">IF(B289&gt;0,'Tax Tables'!$B$32*MIN(MAX(B289/'Tax Tables'!$B$32*'Tax Tables'!$B$33,'Tax Tables'!$B$34),'Tax Tables'!$B$35),0)</f>
        <v>0</v>
      </c>
      <c r="H289" s="11" t="n">
        <f aca="false">Calculator!$B$5-A289-F289-G289</f>
        <v>262000</v>
      </c>
      <c r="I289" s="11" t="n">
        <f aca="false">'Tax Tables'!$B$22*(MAX(H289,0)-IF(Calculator!$B$10="Yes",MIN(MAX(H289,0),'Tax Tables'!$B$27)*'Tax Tables'!$B$28+MIN(MAX(MAX(H289,0)-'Tax Tables'!$B$27,0),'Tax Tables'!$B$29)*'Tax Tables'!$B$30,MIN(MAX(H289,0),'Tax Tables'!$B$23)*'Tax Tables'!$B$24+MIN(MAX(MAX(H289,0)-'Tax Tables'!$B$23,0),'Tax Tables'!$B$25)*'Tax Tables'!$B$26))*1-MIN('Tax Tables'!$B$22*(MAX(H289,0)-IF(Calculator!$B$10="Yes",MIN(MAX(H289,0),'Tax Tables'!$B$27)*'Tax Tables'!$B$28+MIN(MAX(MAX(H289,0)-'Tax Tables'!$B$27,0),'Tax Tables'!$B$29)*'Tax Tables'!$B$30,MIN(MAX(H289,0),'Tax Tables'!$B$23)*'Tax Tables'!$B$24+MIN(MAX(MAX(H289,0)-'Tax Tables'!$B$23,0),'Tax Tables'!$B$25)*'Tax Tables'!$B$26))*Calculator!$B$11,Calculator!$B$12)</f>
        <v>27115</v>
      </c>
      <c r="J289" s="11" t="n">
        <f aca="false">MAX(H289,0)-I289</f>
        <v>234885</v>
      </c>
      <c r="K289" s="11" t="n">
        <f aca="false">MIN(IF(A289&gt;0,Calculator!$B$13,0)+E289+Calculator!$B$14,'Tax Tables'!$B$36)</f>
        <v>1000</v>
      </c>
      <c r="L289" s="11" t="n">
        <f aca="false">MAX(A289-K289,0)</f>
        <v>137000</v>
      </c>
      <c r="M289" s="11" t="n">
        <f aca="false">SUMPRODUCT((L289&gt;'Tax Tables'!$A$5:$A$17)*(L289-'Tax Tables'!$A$5:$A$17)*'Tax Tables'!$C$5:$C$17)</f>
        <v>10500</v>
      </c>
      <c r="N289" s="11" t="n">
        <f aca="false">IF(H289&lt;0,-1E+099,A289-E289-M289+J289+(E289+F289)*Calculator!$B$9)</f>
        <v>362385</v>
      </c>
      <c r="O289" s="2"/>
      <c r="P289" s="11" t="n">
        <f aca="false">276*$B$3</f>
        <v>138000</v>
      </c>
      <c r="Q289" s="11" t="n">
        <f aca="false">MIN(P289,'Tax Tables'!$B$31*'Tax Tables'!$B$32)</f>
        <v>96000</v>
      </c>
      <c r="R289" s="11" t="n">
        <f aca="false">P289-Q289</f>
        <v>42000</v>
      </c>
      <c r="S289" s="11" t="n">
        <f aca="false">IF(Calculator!$B$6="Yes",MIN(Q289,'Tax Tables'!$B$31*'Tax Tables'!$B$32),0)</f>
        <v>96000</v>
      </c>
      <c r="T289" s="11" t="n">
        <f aca="false">S289*Calculator!$B$7</f>
        <v>19200</v>
      </c>
      <c r="U289" s="11" t="n">
        <f aca="false">S289*Calculator!$B$8</f>
        <v>16320</v>
      </c>
      <c r="V289" s="11" t="n">
        <f aca="false">IF(Q289&gt;0,'Tax Tables'!$B$32*MIN(MAX(Q289/'Tax Tables'!$B$32*'Tax Tables'!$B$33,'Tax Tables'!$B$34),'Tax Tables'!$B$35),0)</f>
        <v>135</v>
      </c>
      <c r="W289" s="11" t="n">
        <f aca="false">Calculator!$B$5-P289-U289-V289</f>
        <v>245545</v>
      </c>
      <c r="X289" s="11" t="n">
        <f aca="false">'Tax Tables'!$B$22*(MAX(W289,0)-IF(Calculator!$B$10="Yes",MIN(MAX(W289,0),'Tax Tables'!$B$27)*'Tax Tables'!$B$28+MIN(MAX(MAX(W289,0)-'Tax Tables'!$B$27,0),'Tax Tables'!$B$29)*'Tax Tables'!$B$30,MIN(MAX(W289,0),'Tax Tables'!$B$23)*'Tax Tables'!$B$24+MIN(MAX(MAX(W289,0)-'Tax Tables'!$B$23,0),'Tax Tables'!$B$25)*'Tax Tables'!$B$26))*1-MIN('Tax Tables'!$B$22*(MAX(W289,0)-IF(Calculator!$B$10="Yes",MIN(MAX(W289,0),'Tax Tables'!$B$27)*'Tax Tables'!$B$28+MIN(MAX(MAX(W289,0)-'Tax Tables'!$B$27,0),'Tax Tables'!$B$29)*'Tax Tables'!$B$30,MIN(MAX(W289,0),'Tax Tables'!$B$23)*'Tax Tables'!$B$24+MIN(MAX(MAX(W289,0)-'Tax Tables'!$B$23,0),'Tax Tables'!$B$25)*'Tax Tables'!$B$26))*Calculator!$B$11,Calculator!$B$12)</f>
        <v>24317.65</v>
      </c>
      <c r="Y289" s="11" t="n">
        <f aca="false">MAX(W289,0)-X289</f>
        <v>221227.35</v>
      </c>
      <c r="Z289" s="11" t="n">
        <f aca="false">MIN(IF(P289&gt;0,Calculator!$B$13,0)+T289+Calculator!$B$14,'Tax Tables'!$B$36)</f>
        <v>20200</v>
      </c>
      <c r="AA289" s="11" t="n">
        <f aca="false">MAX(P289-Z289,0)</f>
        <v>117800</v>
      </c>
      <c r="AB289" s="11" t="n">
        <f aca="false">SUMPRODUCT((AA289&gt;'Tax Tables'!$A$5:$A$17)*(AA289-'Tax Tables'!$A$5:$A$17)*'Tax Tables'!$C$5:$C$17)</f>
        <v>7697</v>
      </c>
      <c r="AC289" s="11" t="n">
        <f aca="false">IF(W289&lt;0,-1E+099,P289-T289-AB289+Y289+(T289+U289)*Calculator!$B$9)</f>
        <v>367850.35</v>
      </c>
    </row>
    <row r="290" customFormat="false" ht="15" hidden="false" customHeight="false" outlineLevel="0" collapsed="false">
      <c r="A290" s="11" t="n">
        <f aca="false">277*$B$3</f>
        <v>138500</v>
      </c>
      <c r="B290" s="11" t="n">
        <f aca="false">0</f>
        <v>0</v>
      </c>
      <c r="C290" s="11" t="n">
        <f aca="false">A290-B290</f>
        <v>138500</v>
      </c>
      <c r="D290" s="11" t="n">
        <f aca="false">IF(Calculator!$B$6="Yes",MIN(B290,'Tax Tables'!$B$31*'Tax Tables'!$B$32),0)</f>
        <v>0</v>
      </c>
      <c r="E290" s="11" t="n">
        <f aca="false">D290*Calculator!$B$7</f>
        <v>0</v>
      </c>
      <c r="F290" s="11" t="n">
        <f aca="false">D290*Calculator!$B$8</f>
        <v>0</v>
      </c>
      <c r="G290" s="11" t="n">
        <f aca="false">IF(B290&gt;0,'Tax Tables'!$B$32*MIN(MAX(B290/'Tax Tables'!$B$32*'Tax Tables'!$B$33,'Tax Tables'!$B$34),'Tax Tables'!$B$35),0)</f>
        <v>0</v>
      </c>
      <c r="H290" s="11" t="n">
        <f aca="false">Calculator!$B$5-A290-F290-G290</f>
        <v>261500</v>
      </c>
      <c r="I290" s="11" t="n">
        <f aca="false">'Tax Tables'!$B$22*(MAX(H290,0)-IF(Calculator!$B$10="Yes",MIN(MAX(H290,0),'Tax Tables'!$B$27)*'Tax Tables'!$B$28+MIN(MAX(MAX(H290,0)-'Tax Tables'!$B$27,0),'Tax Tables'!$B$29)*'Tax Tables'!$B$30,MIN(MAX(H290,0),'Tax Tables'!$B$23)*'Tax Tables'!$B$24+MIN(MAX(MAX(H290,0)-'Tax Tables'!$B$23,0),'Tax Tables'!$B$25)*'Tax Tables'!$B$26))*1-MIN('Tax Tables'!$B$22*(MAX(H290,0)-IF(Calculator!$B$10="Yes",MIN(MAX(H290,0),'Tax Tables'!$B$27)*'Tax Tables'!$B$28+MIN(MAX(MAX(H290,0)-'Tax Tables'!$B$27,0),'Tax Tables'!$B$29)*'Tax Tables'!$B$30,MIN(MAX(H290,0),'Tax Tables'!$B$23)*'Tax Tables'!$B$24+MIN(MAX(MAX(H290,0)-'Tax Tables'!$B$23,0),'Tax Tables'!$B$25)*'Tax Tables'!$B$26))*Calculator!$B$11,Calculator!$B$12)</f>
        <v>27030</v>
      </c>
      <c r="J290" s="11" t="n">
        <f aca="false">MAX(H290,0)-I290</f>
        <v>234470</v>
      </c>
      <c r="K290" s="11" t="n">
        <f aca="false">MIN(IF(A290&gt;0,Calculator!$B$13,0)+E290+Calculator!$B$14,'Tax Tables'!$B$36)</f>
        <v>1000</v>
      </c>
      <c r="L290" s="11" t="n">
        <f aca="false">MAX(A290-K290,0)</f>
        <v>137500</v>
      </c>
      <c r="M290" s="11" t="n">
        <f aca="false">SUMPRODUCT((L290&gt;'Tax Tables'!$A$5:$A$17)*(L290-'Tax Tables'!$A$5:$A$17)*'Tax Tables'!$C$5:$C$17)</f>
        <v>10575</v>
      </c>
      <c r="N290" s="11" t="n">
        <f aca="false">IF(H290&lt;0,-1E+099,A290-E290-M290+J290+(E290+F290)*Calculator!$B$9)</f>
        <v>362395</v>
      </c>
      <c r="O290" s="2"/>
      <c r="P290" s="11" t="n">
        <f aca="false">277*$B$3</f>
        <v>138500</v>
      </c>
      <c r="Q290" s="11" t="n">
        <f aca="false">MIN(P290,'Tax Tables'!$B$31*'Tax Tables'!$B$32)</f>
        <v>96000</v>
      </c>
      <c r="R290" s="11" t="n">
        <f aca="false">P290-Q290</f>
        <v>42500</v>
      </c>
      <c r="S290" s="11" t="n">
        <f aca="false">IF(Calculator!$B$6="Yes",MIN(Q290,'Tax Tables'!$B$31*'Tax Tables'!$B$32),0)</f>
        <v>96000</v>
      </c>
      <c r="T290" s="11" t="n">
        <f aca="false">S290*Calculator!$B$7</f>
        <v>19200</v>
      </c>
      <c r="U290" s="11" t="n">
        <f aca="false">S290*Calculator!$B$8</f>
        <v>16320</v>
      </c>
      <c r="V290" s="11" t="n">
        <f aca="false">IF(Q290&gt;0,'Tax Tables'!$B$32*MIN(MAX(Q290/'Tax Tables'!$B$32*'Tax Tables'!$B$33,'Tax Tables'!$B$34),'Tax Tables'!$B$35),0)</f>
        <v>135</v>
      </c>
      <c r="W290" s="11" t="n">
        <f aca="false">Calculator!$B$5-P290-U290-V290</f>
        <v>245045</v>
      </c>
      <c r="X290" s="11" t="n">
        <f aca="false">'Tax Tables'!$B$22*(MAX(W290,0)-IF(Calculator!$B$10="Yes",MIN(MAX(W290,0),'Tax Tables'!$B$27)*'Tax Tables'!$B$28+MIN(MAX(MAX(W290,0)-'Tax Tables'!$B$27,0),'Tax Tables'!$B$29)*'Tax Tables'!$B$30,MIN(MAX(W290,0),'Tax Tables'!$B$23)*'Tax Tables'!$B$24+MIN(MAX(MAX(W290,0)-'Tax Tables'!$B$23,0),'Tax Tables'!$B$25)*'Tax Tables'!$B$26))*1-MIN('Tax Tables'!$B$22*(MAX(W290,0)-IF(Calculator!$B$10="Yes",MIN(MAX(W290,0),'Tax Tables'!$B$27)*'Tax Tables'!$B$28+MIN(MAX(MAX(W290,0)-'Tax Tables'!$B$27,0),'Tax Tables'!$B$29)*'Tax Tables'!$B$30,MIN(MAX(W290,0),'Tax Tables'!$B$23)*'Tax Tables'!$B$24+MIN(MAX(MAX(W290,0)-'Tax Tables'!$B$23,0),'Tax Tables'!$B$25)*'Tax Tables'!$B$26))*Calculator!$B$11,Calculator!$B$12)</f>
        <v>24232.65</v>
      </c>
      <c r="Y290" s="11" t="n">
        <f aca="false">MAX(W290,0)-X290</f>
        <v>220812.35</v>
      </c>
      <c r="Z290" s="11" t="n">
        <f aca="false">MIN(IF(P290&gt;0,Calculator!$B$13,0)+T290+Calculator!$B$14,'Tax Tables'!$B$36)</f>
        <v>20200</v>
      </c>
      <c r="AA290" s="11" t="n">
        <f aca="false">MAX(P290-Z290,0)</f>
        <v>118300</v>
      </c>
      <c r="AB290" s="11" t="n">
        <f aca="false">SUMPRODUCT((AA290&gt;'Tax Tables'!$A$5:$A$17)*(AA290-'Tax Tables'!$A$5:$A$17)*'Tax Tables'!$C$5:$C$17)</f>
        <v>7754.5</v>
      </c>
      <c r="AC290" s="11" t="n">
        <f aca="false">IF(W290&lt;0,-1E+099,P290-T290-AB290+Y290+(T290+U290)*Calculator!$B$9)</f>
        <v>367877.85</v>
      </c>
    </row>
    <row r="291" customFormat="false" ht="15" hidden="false" customHeight="false" outlineLevel="0" collapsed="false">
      <c r="A291" s="11" t="n">
        <f aca="false">278*$B$3</f>
        <v>139000</v>
      </c>
      <c r="B291" s="11" t="n">
        <f aca="false">0</f>
        <v>0</v>
      </c>
      <c r="C291" s="11" t="n">
        <f aca="false">A291-B291</f>
        <v>139000</v>
      </c>
      <c r="D291" s="11" t="n">
        <f aca="false">IF(Calculator!$B$6="Yes",MIN(B291,'Tax Tables'!$B$31*'Tax Tables'!$B$32),0)</f>
        <v>0</v>
      </c>
      <c r="E291" s="11" t="n">
        <f aca="false">D291*Calculator!$B$7</f>
        <v>0</v>
      </c>
      <c r="F291" s="11" t="n">
        <f aca="false">D291*Calculator!$B$8</f>
        <v>0</v>
      </c>
      <c r="G291" s="11" t="n">
        <f aca="false">IF(B291&gt;0,'Tax Tables'!$B$32*MIN(MAX(B291/'Tax Tables'!$B$32*'Tax Tables'!$B$33,'Tax Tables'!$B$34),'Tax Tables'!$B$35),0)</f>
        <v>0</v>
      </c>
      <c r="H291" s="11" t="n">
        <f aca="false">Calculator!$B$5-A291-F291-G291</f>
        <v>261000</v>
      </c>
      <c r="I291" s="11" t="n">
        <f aca="false">'Tax Tables'!$B$22*(MAX(H291,0)-IF(Calculator!$B$10="Yes",MIN(MAX(H291,0),'Tax Tables'!$B$27)*'Tax Tables'!$B$28+MIN(MAX(MAX(H291,0)-'Tax Tables'!$B$27,0),'Tax Tables'!$B$29)*'Tax Tables'!$B$30,MIN(MAX(H291,0),'Tax Tables'!$B$23)*'Tax Tables'!$B$24+MIN(MAX(MAX(H291,0)-'Tax Tables'!$B$23,0),'Tax Tables'!$B$25)*'Tax Tables'!$B$26))*1-MIN('Tax Tables'!$B$22*(MAX(H291,0)-IF(Calculator!$B$10="Yes",MIN(MAX(H291,0),'Tax Tables'!$B$27)*'Tax Tables'!$B$28+MIN(MAX(MAX(H291,0)-'Tax Tables'!$B$27,0),'Tax Tables'!$B$29)*'Tax Tables'!$B$30,MIN(MAX(H291,0),'Tax Tables'!$B$23)*'Tax Tables'!$B$24+MIN(MAX(MAX(H291,0)-'Tax Tables'!$B$23,0),'Tax Tables'!$B$25)*'Tax Tables'!$B$26))*Calculator!$B$11,Calculator!$B$12)</f>
        <v>26945</v>
      </c>
      <c r="J291" s="11" t="n">
        <f aca="false">MAX(H291,0)-I291</f>
        <v>234055</v>
      </c>
      <c r="K291" s="11" t="n">
        <f aca="false">MIN(IF(A291&gt;0,Calculator!$B$13,0)+E291+Calculator!$B$14,'Tax Tables'!$B$36)</f>
        <v>1000</v>
      </c>
      <c r="L291" s="11" t="n">
        <f aca="false">MAX(A291-K291,0)</f>
        <v>138000</v>
      </c>
      <c r="M291" s="11" t="n">
        <f aca="false">SUMPRODUCT((L291&gt;'Tax Tables'!$A$5:$A$17)*(L291-'Tax Tables'!$A$5:$A$17)*'Tax Tables'!$C$5:$C$17)</f>
        <v>10650</v>
      </c>
      <c r="N291" s="11" t="n">
        <f aca="false">IF(H291&lt;0,-1E+099,A291-E291-M291+J291+(E291+F291)*Calculator!$B$9)</f>
        <v>362405</v>
      </c>
      <c r="O291" s="2"/>
      <c r="P291" s="11" t="n">
        <f aca="false">278*$B$3</f>
        <v>139000</v>
      </c>
      <c r="Q291" s="11" t="n">
        <f aca="false">MIN(P291,'Tax Tables'!$B$31*'Tax Tables'!$B$32)</f>
        <v>96000</v>
      </c>
      <c r="R291" s="11" t="n">
        <f aca="false">P291-Q291</f>
        <v>43000</v>
      </c>
      <c r="S291" s="11" t="n">
        <f aca="false">IF(Calculator!$B$6="Yes",MIN(Q291,'Tax Tables'!$B$31*'Tax Tables'!$B$32),0)</f>
        <v>96000</v>
      </c>
      <c r="T291" s="11" t="n">
        <f aca="false">S291*Calculator!$B$7</f>
        <v>19200</v>
      </c>
      <c r="U291" s="11" t="n">
        <f aca="false">S291*Calculator!$B$8</f>
        <v>16320</v>
      </c>
      <c r="V291" s="11" t="n">
        <f aca="false">IF(Q291&gt;0,'Tax Tables'!$B$32*MIN(MAX(Q291/'Tax Tables'!$B$32*'Tax Tables'!$B$33,'Tax Tables'!$B$34),'Tax Tables'!$B$35),0)</f>
        <v>135</v>
      </c>
      <c r="W291" s="11" t="n">
        <f aca="false">Calculator!$B$5-P291-U291-V291</f>
        <v>244545</v>
      </c>
      <c r="X291" s="11" t="n">
        <f aca="false">'Tax Tables'!$B$22*(MAX(W291,0)-IF(Calculator!$B$10="Yes",MIN(MAX(W291,0),'Tax Tables'!$B$27)*'Tax Tables'!$B$28+MIN(MAX(MAX(W291,0)-'Tax Tables'!$B$27,0),'Tax Tables'!$B$29)*'Tax Tables'!$B$30,MIN(MAX(W291,0),'Tax Tables'!$B$23)*'Tax Tables'!$B$24+MIN(MAX(MAX(W291,0)-'Tax Tables'!$B$23,0),'Tax Tables'!$B$25)*'Tax Tables'!$B$26))*1-MIN('Tax Tables'!$B$22*(MAX(W291,0)-IF(Calculator!$B$10="Yes",MIN(MAX(W291,0),'Tax Tables'!$B$27)*'Tax Tables'!$B$28+MIN(MAX(MAX(W291,0)-'Tax Tables'!$B$27,0),'Tax Tables'!$B$29)*'Tax Tables'!$B$30,MIN(MAX(W291,0),'Tax Tables'!$B$23)*'Tax Tables'!$B$24+MIN(MAX(MAX(W291,0)-'Tax Tables'!$B$23,0),'Tax Tables'!$B$25)*'Tax Tables'!$B$26))*Calculator!$B$11,Calculator!$B$12)</f>
        <v>24147.65</v>
      </c>
      <c r="Y291" s="11" t="n">
        <f aca="false">MAX(W291,0)-X291</f>
        <v>220397.35</v>
      </c>
      <c r="Z291" s="11" t="n">
        <f aca="false">MIN(IF(P291&gt;0,Calculator!$B$13,0)+T291+Calculator!$B$14,'Tax Tables'!$B$36)</f>
        <v>20200</v>
      </c>
      <c r="AA291" s="11" t="n">
        <f aca="false">MAX(P291-Z291,0)</f>
        <v>118800</v>
      </c>
      <c r="AB291" s="11" t="n">
        <f aca="false">SUMPRODUCT((AA291&gt;'Tax Tables'!$A$5:$A$17)*(AA291-'Tax Tables'!$A$5:$A$17)*'Tax Tables'!$C$5:$C$17)</f>
        <v>7812</v>
      </c>
      <c r="AC291" s="11" t="n">
        <f aca="false">IF(W291&lt;0,-1E+099,P291-T291-AB291+Y291+(T291+U291)*Calculator!$B$9)</f>
        <v>367905.35</v>
      </c>
    </row>
    <row r="292" customFormat="false" ht="15" hidden="false" customHeight="false" outlineLevel="0" collapsed="false">
      <c r="A292" s="11" t="n">
        <f aca="false">279*$B$3</f>
        <v>139500</v>
      </c>
      <c r="B292" s="11" t="n">
        <f aca="false">0</f>
        <v>0</v>
      </c>
      <c r="C292" s="11" t="n">
        <f aca="false">A292-B292</f>
        <v>139500</v>
      </c>
      <c r="D292" s="11" t="n">
        <f aca="false">IF(Calculator!$B$6="Yes",MIN(B292,'Tax Tables'!$B$31*'Tax Tables'!$B$32),0)</f>
        <v>0</v>
      </c>
      <c r="E292" s="11" t="n">
        <f aca="false">D292*Calculator!$B$7</f>
        <v>0</v>
      </c>
      <c r="F292" s="11" t="n">
        <f aca="false">D292*Calculator!$B$8</f>
        <v>0</v>
      </c>
      <c r="G292" s="11" t="n">
        <f aca="false">IF(B292&gt;0,'Tax Tables'!$B$32*MIN(MAX(B292/'Tax Tables'!$B$32*'Tax Tables'!$B$33,'Tax Tables'!$B$34),'Tax Tables'!$B$35),0)</f>
        <v>0</v>
      </c>
      <c r="H292" s="11" t="n">
        <f aca="false">Calculator!$B$5-A292-F292-G292</f>
        <v>260500</v>
      </c>
      <c r="I292" s="11" t="n">
        <f aca="false">'Tax Tables'!$B$22*(MAX(H292,0)-IF(Calculator!$B$10="Yes",MIN(MAX(H292,0),'Tax Tables'!$B$27)*'Tax Tables'!$B$28+MIN(MAX(MAX(H292,0)-'Tax Tables'!$B$27,0),'Tax Tables'!$B$29)*'Tax Tables'!$B$30,MIN(MAX(H292,0),'Tax Tables'!$B$23)*'Tax Tables'!$B$24+MIN(MAX(MAX(H292,0)-'Tax Tables'!$B$23,0),'Tax Tables'!$B$25)*'Tax Tables'!$B$26))*1-MIN('Tax Tables'!$B$22*(MAX(H292,0)-IF(Calculator!$B$10="Yes",MIN(MAX(H292,0),'Tax Tables'!$B$27)*'Tax Tables'!$B$28+MIN(MAX(MAX(H292,0)-'Tax Tables'!$B$27,0),'Tax Tables'!$B$29)*'Tax Tables'!$B$30,MIN(MAX(H292,0),'Tax Tables'!$B$23)*'Tax Tables'!$B$24+MIN(MAX(MAX(H292,0)-'Tax Tables'!$B$23,0),'Tax Tables'!$B$25)*'Tax Tables'!$B$26))*Calculator!$B$11,Calculator!$B$12)</f>
        <v>26860</v>
      </c>
      <c r="J292" s="11" t="n">
        <f aca="false">MAX(H292,0)-I292</f>
        <v>233640</v>
      </c>
      <c r="K292" s="11" t="n">
        <f aca="false">MIN(IF(A292&gt;0,Calculator!$B$13,0)+E292+Calculator!$B$14,'Tax Tables'!$B$36)</f>
        <v>1000</v>
      </c>
      <c r="L292" s="11" t="n">
        <f aca="false">MAX(A292-K292,0)</f>
        <v>138500</v>
      </c>
      <c r="M292" s="11" t="n">
        <f aca="false">SUMPRODUCT((L292&gt;'Tax Tables'!$A$5:$A$17)*(L292-'Tax Tables'!$A$5:$A$17)*'Tax Tables'!$C$5:$C$17)</f>
        <v>10725</v>
      </c>
      <c r="N292" s="11" t="n">
        <f aca="false">IF(H292&lt;0,-1E+099,A292-E292-M292+J292+(E292+F292)*Calculator!$B$9)</f>
        <v>362415</v>
      </c>
      <c r="O292" s="2"/>
      <c r="P292" s="11" t="n">
        <f aca="false">279*$B$3</f>
        <v>139500</v>
      </c>
      <c r="Q292" s="11" t="n">
        <f aca="false">MIN(P292,'Tax Tables'!$B$31*'Tax Tables'!$B$32)</f>
        <v>96000</v>
      </c>
      <c r="R292" s="11" t="n">
        <f aca="false">P292-Q292</f>
        <v>43500</v>
      </c>
      <c r="S292" s="11" t="n">
        <f aca="false">IF(Calculator!$B$6="Yes",MIN(Q292,'Tax Tables'!$B$31*'Tax Tables'!$B$32),0)</f>
        <v>96000</v>
      </c>
      <c r="T292" s="11" t="n">
        <f aca="false">S292*Calculator!$B$7</f>
        <v>19200</v>
      </c>
      <c r="U292" s="11" t="n">
        <f aca="false">S292*Calculator!$B$8</f>
        <v>16320</v>
      </c>
      <c r="V292" s="11" t="n">
        <f aca="false">IF(Q292&gt;0,'Tax Tables'!$B$32*MIN(MAX(Q292/'Tax Tables'!$B$32*'Tax Tables'!$B$33,'Tax Tables'!$B$34),'Tax Tables'!$B$35),0)</f>
        <v>135</v>
      </c>
      <c r="W292" s="11" t="n">
        <f aca="false">Calculator!$B$5-P292-U292-V292</f>
        <v>244045</v>
      </c>
      <c r="X292" s="11" t="n">
        <f aca="false">'Tax Tables'!$B$22*(MAX(W292,0)-IF(Calculator!$B$10="Yes",MIN(MAX(W292,0),'Tax Tables'!$B$27)*'Tax Tables'!$B$28+MIN(MAX(MAX(W292,0)-'Tax Tables'!$B$27,0),'Tax Tables'!$B$29)*'Tax Tables'!$B$30,MIN(MAX(W292,0),'Tax Tables'!$B$23)*'Tax Tables'!$B$24+MIN(MAX(MAX(W292,0)-'Tax Tables'!$B$23,0),'Tax Tables'!$B$25)*'Tax Tables'!$B$26))*1-MIN('Tax Tables'!$B$22*(MAX(W292,0)-IF(Calculator!$B$10="Yes",MIN(MAX(W292,0),'Tax Tables'!$B$27)*'Tax Tables'!$B$28+MIN(MAX(MAX(W292,0)-'Tax Tables'!$B$27,0),'Tax Tables'!$B$29)*'Tax Tables'!$B$30,MIN(MAX(W292,0),'Tax Tables'!$B$23)*'Tax Tables'!$B$24+MIN(MAX(MAX(W292,0)-'Tax Tables'!$B$23,0),'Tax Tables'!$B$25)*'Tax Tables'!$B$26))*Calculator!$B$11,Calculator!$B$12)</f>
        <v>24062.65</v>
      </c>
      <c r="Y292" s="11" t="n">
        <f aca="false">MAX(W292,0)-X292</f>
        <v>219982.35</v>
      </c>
      <c r="Z292" s="11" t="n">
        <f aca="false">MIN(IF(P292&gt;0,Calculator!$B$13,0)+T292+Calculator!$B$14,'Tax Tables'!$B$36)</f>
        <v>20200</v>
      </c>
      <c r="AA292" s="11" t="n">
        <f aca="false">MAX(P292-Z292,0)</f>
        <v>119300</v>
      </c>
      <c r="AB292" s="11" t="n">
        <f aca="false">SUMPRODUCT((AA292&gt;'Tax Tables'!$A$5:$A$17)*(AA292-'Tax Tables'!$A$5:$A$17)*'Tax Tables'!$C$5:$C$17)</f>
        <v>7869.5</v>
      </c>
      <c r="AC292" s="11" t="n">
        <f aca="false">IF(W292&lt;0,-1E+099,P292-T292-AB292+Y292+(T292+U292)*Calculator!$B$9)</f>
        <v>367932.85</v>
      </c>
    </row>
    <row r="293" customFormat="false" ht="15" hidden="false" customHeight="false" outlineLevel="0" collapsed="false">
      <c r="A293" s="11" t="n">
        <f aca="false">280*$B$3</f>
        <v>140000</v>
      </c>
      <c r="B293" s="11" t="n">
        <f aca="false">0</f>
        <v>0</v>
      </c>
      <c r="C293" s="11" t="n">
        <f aca="false">A293-B293</f>
        <v>140000</v>
      </c>
      <c r="D293" s="11" t="n">
        <f aca="false">IF(Calculator!$B$6="Yes",MIN(B293,'Tax Tables'!$B$31*'Tax Tables'!$B$32),0)</f>
        <v>0</v>
      </c>
      <c r="E293" s="11" t="n">
        <f aca="false">D293*Calculator!$B$7</f>
        <v>0</v>
      </c>
      <c r="F293" s="11" t="n">
        <f aca="false">D293*Calculator!$B$8</f>
        <v>0</v>
      </c>
      <c r="G293" s="11" t="n">
        <f aca="false">IF(B293&gt;0,'Tax Tables'!$B$32*MIN(MAX(B293/'Tax Tables'!$B$32*'Tax Tables'!$B$33,'Tax Tables'!$B$34),'Tax Tables'!$B$35),0)</f>
        <v>0</v>
      </c>
      <c r="H293" s="11" t="n">
        <f aca="false">Calculator!$B$5-A293-F293-G293</f>
        <v>260000</v>
      </c>
      <c r="I293" s="11" t="n">
        <f aca="false">'Tax Tables'!$B$22*(MAX(H293,0)-IF(Calculator!$B$10="Yes",MIN(MAX(H293,0),'Tax Tables'!$B$27)*'Tax Tables'!$B$28+MIN(MAX(MAX(H293,0)-'Tax Tables'!$B$27,0),'Tax Tables'!$B$29)*'Tax Tables'!$B$30,MIN(MAX(H293,0),'Tax Tables'!$B$23)*'Tax Tables'!$B$24+MIN(MAX(MAX(H293,0)-'Tax Tables'!$B$23,0),'Tax Tables'!$B$25)*'Tax Tables'!$B$26))*1-MIN('Tax Tables'!$B$22*(MAX(H293,0)-IF(Calculator!$B$10="Yes",MIN(MAX(H293,0),'Tax Tables'!$B$27)*'Tax Tables'!$B$28+MIN(MAX(MAX(H293,0)-'Tax Tables'!$B$27,0),'Tax Tables'!$B$29)*'Tax Tables'!$B$30,MIN(MAX(H293,0),'Tax Tables'!$B$23)*'Tax Tables'!$B$24+MIN(MAX(MAX(H293,0)-'Tax Tables'!$B$23,0),'Tax Tables'!$B$25)*'Tax Tables'!$B$26))*Calculator!$B$11,Calculator!$B$12)</f>
        <v>26775</v>
      </c>
      <c r="J293" s="11" t="n">
        <f aca="false">MAX(H293,0)-I293</f>
        <v>233225</v>
      </c>
      <c r="K293" s="11" t="n">
        <f aca="false">MIN(IF(A293&gt;0,Calculator!$B$13,0)+E293+Calculator!$B$14,'Tax Tables'!$B$36)</f>
        <v>1000</v>
      </c>
      <c r="L293" s="11" t="n">
        <f aca="false">MAX(A293-K293,0)</f>
        <v>139000</v>
      </c>
      <c r="M293" s="11" t="n">
        <f aca="false">SUMPRODUCT((L293&gt;'Tax Tables'!$A$5:$A$17)*(L293-'Tax Tables'!$A$5:$A$17)*'Tax Tables'!$C$5:$C$17)</f>
        <v>10800</v>
      </c>
      <c r="N293" s="11" t="n">
        <f aca="false">IF(H293&lt;0,-1E+099,A293-E293-M293+J293+(E293+F293)*Calculator!$B$9)</f>
        <v>362425</v>
      </c>
      <c r="O293" s="2"/>
      <c r="P293" s="11" t="n">
        <f aca="false">280*$B$3</f>
        <v>140000</v>
      </c>
      <c r="Q293" s="11" t="n">
        <f aca="false">MIN(P293,'Tax Tables'!$B$31*'Tax Tables'!$B$32)</f>
        <v>96000</v>
      </c>
      <c r="R293" s="11" t="n">
        <f aca="false">P293-Q293</f>
        <v>44000</v>
      </c>
      <c r="S293" s="11" t="n">
        <f aca="false">IF(Calculator!$B$6="Yes",MIN(Q293,'Tax Tables'!$B$31*'Tax Tables'!$B$32),0)</f>
        <v>96000</v>
      </c>
      <c r="T293" s="11" t="n">
        <f aca="false">S293*Calculator!$B$7</f>
        <v>19200</v>
      </c>
      <c r="U293" s="11" t="n">
        <f aca="false">S293*Calculator!$B$8</f>
        <v>16320</v>
      </c>
      <c r="V293" s="11" t="n">
        <f aca="false">IF(Q293&gt;0,'Tax Tables'!$B$32*MIN(MAX(Q293/'Tax Tables'!$B$32*'Tax Tables'!$B$33,'Tax Tables'!$B$34),'Tax Tables'!$B$35),0)</f>
        <v>135</v>
      </c>
      <c r="W293" s="11" t="n">
        <f aca="false">Calculator!$B$5-P293-U293-V293</f>
        <v>243545</v>
      </c>
      <c r="X293" s="11" t="n">
        <f aca="false">'Tax Tables'!$B$22*(MAX(W293,0)-IF(Calculator!$B$10="Yes",MIN(MAX(W293,0),'Tax Tables'!$B$27)*'Tax Tables'!$B$28+MIN(MAX(MAX(W293,0)-'Tax Tables'!$B$27,0),'Tax Tables'!$B$29)*'Tax Tables'!$B$30,MIN(MAX(W293,0),'Tax Tables'!$B$23)*'Tax Tables'!$B$24+MIN(MAX(MAX(W293,0)-'Tax Tables'!$B$23,0),'Tax Tables'!$B$25)*'Tax Tables'!$B$26))*1-MIN('Tax Tables'!$B$22*(MAX(W293,0)-IF(Calculator!$B$10="Yes",MIN(MAX(W293,0),'Tax Tables'!$B$27)*'Tax Tables'!$B$28+MIN(MAX(MAX(W293,0)-'Tax Tables'!$B$27,0),'Tax Tables'!$B$29)*'Tax Tables'!$B$30,MIN(MAX(W293,0),'Tax Tables'!$B$23)*'Tax Tables'!$B$24+MIN(MAX(MAX(W293,0)-'Tax Tables'!$B$23,0),'Tax Tables'!$B$25)*'Tax Tables'!$B$26))*Calculator!$B$11,Calculator!$B$12)</f>
        <v>23977.65</v>
      </c>
      <c r="Y293" s="11" t="n">
        <f aca="false">MAX(W293,0)-X293</f>
        <v>219567.35</v>
      </c>
      <c r="Z293" s="11" t="n">
        <f aca="false">MIN(IF(P293&gt;0,Calculator!$B$13,0)+T293+Calculator!$B$14,'Tax Tables'!$B$36)</f>
        <v>20200</v>
      </c>
      <c r="AA293" s="11" t="n">
        <f aca="false">MAX(P293-Z293,0)</f>
        <v>119800</v>
      </c>
      <c r="AB293" s="11" t="n">
        <f aca="false">SUMPRODUCT((AA293&gt;'Tax Tables'!$A$5:$A$17)*(AA293-'Tax Tables'!$A$5:$A$17)*'Tax Tables'!$C$5:$C$17)</f>
        <v>7927</v>
      </c>
      <c r="AC293" s="11" t="n">
        <f aca="false">IF(W293&lt;0,-1E+099,P293-T293-AB293+Y293+(T293+U293)*Calculator!$B$9)</f>
        <v>367960.35</v>
      </c>
    </row>
    <row r="294" customFormat="false" ht="15" hidden="false" customHeight="false" outlineLevel="0" collapsed="false">
      <c r="A294" s="11" t="n">
        <f aca="false">281*$B$3</f>
        <v>140500</v>
      </c>
      <c r="B294" s="11" t="n">
        <f aca="false">0</f>
        <v>0</v>
      </c>
      <c r="C294" s="11" t="n">
        <f aca="false">A294-B294</f>
        <v>140500</v>
      </c>
      <c r="D294" s="11" t="n">
        <f aca="false">IF(Calculator!$B$6="Yes",MIN(B294,'Tax Tables'!$B$31*'Tax Tables'!$B$32),0)</f>
        <v>0</v>
      </c>
      <c r="E294" s="11" t="n">
        <f aca="false">D294*Calculator!$B$7</f>
        <v>0</v>
      </c>
      <c r="F294" s="11" t="n">
        <f aca="false">D294*Calculator!$B$8</f>
        <v>0</v>
      </c>
      <c r="G294" s="11" t="n">
        <f aca="false">IF(B294&gt;0,'Tax Tables'!$B$32*MIN(MAX(B294/'Tax Tables'!$B$32*'Tax Tables'!$B$33,'Tax Tables'!$B$34),'Tax Tables'!$B$35),0)</f>
        <v>0</v>
      </c>
      <c r="H294" s="11" t="n">
        <f aca="false">Calculator!$B$5-A294-F294-G294</f>
        <v>259500</v>
      </c>
      <c r="I294" s="11" t="n">
        <f aca="false">'Tax Tables'!$B$22*(MAX(H294,0)-IF(Calculator!$B$10="Yes",MIN(MAX(H294,0),'Tax Tables'!$B$27)*'Tax Tables'!$B$28+MIN(MAX(MAX(H294,0)-'Tax Tables'!$B$27,0),'Tax Tables'!$B$29)*'Tax Tables'!$B$30,MIN(MAX(H294,0),'Tax Tables'!$B$23)*'Tax Tables'!$B$24+MIN(MAX(MAX(H294,0)-'Tax Tables'!$B$23,0),'Tax Tables'!$B$25)*'Tax Tables'!$B$26))*1-MIN('Tax Tables'!$B$22*(MAX(H294,0)-IF(Calculator!$B$10="Yes",MIN(MAX(H294,0),'Tax Tables'!$B$27)*'Tax Tables'!$B$28+MIN(MAX(MAX(H294,0)-'Tax Tables'!$B$27,0),'Tax Tables'!$B$29)*'Tax Tables'!$B$30,MIN(MAX(H294,0),'Tax Tables'!$B$23)*'Tax Tables'!$B$24+MIN(MAX(MAX(H294,0)-'Tax Tables'!$B$23,0),'Tax Tables'!$B$25)*'Tax Tables'!$B$26))*Calculator!$B$11,Calculator!$B$12)</f>
        <v>26690</v>
      </c>
      <c r="J294" s="11" t="n">
        <f aca="false">MAX(H294,0)-I294</f>
        <v>232810</v>
      </c>
      <c r="K294" s="11" t="n">
        <f aca="false">MIN(IF(A294&gt;0,Calculator!$B$13,0)+E294+Calculator!$B$14,'Tax Tables'!$B$36)</f>
        <v>1000</v>
      </c>
      <c r="L294" s="11" t="n">
        <f aca="false">MAX(A294-K294,0)</f>
        <v>139500</v>
      </c>
      <c r="M294" s="11" t="n">
        <f aca="false">SUMPRODUCT((L294&gt;'Tax Tables'!$A$5:$A$17)*(L294-'Tax Tables'!$A$5:$A$17)*'Tax Tables'!$C$5:$C$17)</f>
        <v>10875</v>
      </c>
      <c r="N294" s="11" t="n">
        <f aca="false">IF(H294&lt;0,-1E+099,A294-E294-M294+J294+(E294+F294)*Calculator!$B$9)</f>
        <v>362435</v>
      </c>
      <c r="O294" s="2"/>
      <c r="P294" s="11" t="n">
        <f aca="false">281*$B$3</f>
        <v>140500</v>
      </c>
      <c r="Q294" s="11" t="n">
        <f aca="false">MIN(P294,'Tax Tables'!$B$31*'Tax Tables'!$B$32)</f>
        <v>96000</v>
      </c>
      <c r="R294" s="11" t="n">
        <f aca="false">P294-Q294</f>
        <v>44500</v>
      </c>
      <c r="S294" s="11" t="n">
        <f aca="false">IF(Calculator!$B$6="Yes",MIN(Q294,'Tax Tables'!$B$31*'Tax Tables'!$B$32),0)</f>
        <v>96000</v>
      </c>
      <c r="T294" s="11" t="n">
        <f aca="false">S294*Calculator!$B$7</f>
        <v>19200</v>
      </c>
      <c r="U294" s="11" t="n">
        <f aca="false">S294*Calculator!$B$8</f>
        <v>16320</v>
      </c>
      <c r="V294" s="11" t="n">
        <f aca="false">IF(Q294&gt;0,'Tax Tables'!$B$32*MIN(MAX(Q294/'Tax Tables'!$B$32*'Tax Tables'!$B$33,'Tax Tables'!$B$34),'Tax Tables'!$B$35),0)</f>
        <v>135</v>
      </c>
      <c r="W294" s="11" t="n">
        <f aca="false">Calculator!$B$5-P294-U294-V294</f>
        <v>243045</v>
      </c>
      <c r="X294" s="11" t="n">
        <f aca="false">'Tax Tables'!$B$22*(MAX(W294,0)-IF(Calculator!$B$10="Yes",MIN(MAX(W294,0),'Tax Tables'!$B$27)*'Tax Tables'!$B$28+MIN(MAX(MAX(W294,0)-'Tax Tables'!$B$27,0),'Tax Tables'!$B$29)*'Tax Tables'!$B$30,MIN(MAX(W294,0),'Tax Tables'!$B$23)*'Tax Tables'!$B$24+MIN(MAX(MAX(W294,0)-'Tax Tables'!$B$23,0),'Tax Tables'!$B$25)*'Tax Tables'!$B$26))*1-MIN('Tax Tables'!$B$22*(MAX(W294,0)-IF(Calculator!$B$10="Yes",MIN(MAX(W294,0),'Tax Tables'!$B$27)*'Tax Tables'!$B$28+MIN(MAX(MAX(W294,0)-'Tax Tables'!$B$27,0),'Tax Tables'!$B$29)*'Tax Tables'!$B$30,MIN(MAX(W294,0),'Tax Tables'!$B$23)*'Tax Tables'!$B$24+MIN(MAX(MAX(W294,0)-'Tax Tables'!$B$23,0),'Tax Tables'!$B$25)*'Tax Tables'!$B$26))*Calculator!$B$11,Calculator!$B$12)</f>
        <v>23892.65</v>
      </c>
      <c r="Y294" s="11" t="n">
        <f aca="false">MAX(W294,0)-X294</f>
        <v>219152.35</v>
      </c>
      <c r="Z294" s="11" t="n">
        <f aca="false">MIN(IF(P294&gt;0,Calculator!$B$13,0)+T294+Calculator!$B$14,'Tax Tables'!$B$36)</f>
        <v>20200</v>
      </c>
      <c r="AA294" s="11" t="n">
        <f aca="false">MAX(P294-Z294,0)</f>
        <v>120300</v>
      </c>
      <c r="AB294" s="11" t="n">
        <f aca="false">SUMPRODUCT((AA294&gt;'Tax Tables'!$A$5:$A$17)*(AA294-'Tax Tables'!$A$5:$A$17)*'Tax Tables'!$C$5:$C$17)</f>
        <v>7995</v>
      </c>
      <c r="AC294" s="11" t="n">
        <f aca="false">IF(W294&lt;0,-1E+099,P294-T294-AB294+Y294+(T294+U294)*Calculator!$B$9)</f>
        <v>367977.35</v>
      </c>
    </row>
    <row r="295" customFormat="false" ht="15" hidden="false" customHeight="false" outlineLevel="0" collapsed="false">
      <c r="A295" s="11" t="n">
        <f aca="false">282*$B$3</f>
        <v>141000</v>
      </c>
      <c r="B295" s="11" t="n">
        <f aca="false">0</f>
        <v>0</v>
      </c>
      <c r="C295" s="11" t="n">
        <f aca="false">A295-B295</f>
        <v>141000</v>
      </c>
      <c r="D295" s="11" t="n">
        <f aca="false">IF(Calculator!$B$6="Yes",MIN(B295,'Tax Tables'!$B$31*'Tax Tables'!$B$32),0)</f>
        <v>0</v>
      </c>
      <c r="E295" s="11" t="n">
        <f aca="false">D295*Calculator!$B$7</f>
        <v>0</v>
      </c>
      <c r="F295" s="11" t="n">
        <f aca="false">D295*Calculator!$B$8</f>
        <v>0</v>
      </c>
      <c r="G295" s="11" t="n">
        <f aca="false">IF(B295&gt;0,'Tax Tables'!$B$32*MIN(MAX(B295/'Tax Tables'!$B$32*'Tax Tables'!$B$33,'Tax Tables'!$B$34),'Tax Tables'!$B$35),0)</f>
        <v>0</v>
      </c>
      <c r="H295" s="11" t="n">
        <f aca="false">Calculator!$B$5-A295-F295-G295</f>
        <v>259000</v>
      </c>
      <c r="I295" s="11" t="n">
        <f aca="false">'Tax Tables'!$B$22*(MAX(H295,0)-IF(Calculator!$B$10="Yes",MIN(MAX(H295,0),'Tax Tables'!$B$27)*'Tax Tables'!$B$28+MIN(MAX(MAX(H295,0)-'Tax Tables'!$B$27,0),'Tax Tables'!$B$29)*'Tax Tables'!$B$30,MIN(MAX(H295,0),'Tax Tables'!$B$23)*'Tax Tables'!$B$24+MIN(MAX(MAX(H295,0)-'Tax Tables'!$B$23,0),'Tax Tables'!$B$25)*'Tax Tables'!$B$26))*1-MIN('Tax Tables'!$B$22*(MAX(H295,0)-IF(Calculator!$B$10="Yes",MIN(MAX(H295,0),'Tax Tables'!$B$27)*'Tax Tables'!$B$28+MIN(MAX(MAX(H295,0)-'Tax Tables'!$B$27,0),'Tax Tables'!$B$29)*'Tax Tables'!$B$30,MIN(MAX(H295,0),'Tax Tables'!$B$23)*'Tax Tables'!$B$24+MIN(MAX(MAX(H295,0)-'Tax Tables'!$B$23,0),'Tax Tables'!$B$25)*'Tax Tables'!$B$26))*Calculator!$B$11,Calculator!$B$12)</f>
        <v>26605</v>
      </c>
      <c r="J295" s="11" t="n">
        <f aca="false">MAX(H295,0)-I295</f>
        <v>232395</v>
      </c>
      <c r="K295" s="11" t="n">
        <f aca="false">MIN(IF(A295&gt;0,Calculator!$B$13,0)+E295+Calculator!$B$14,'Tax Tables'!$B$36)</f>
        <v>1000</v>
      </c>
      <c r="L295" s="11" t="n">
        <f aca="false">MAX(A295-K295,0)</f>
        <v>140000</v>
      </c>
      <c r="M295" s="11" t="n">
        <f aca="false">SUMPRODUCT((L295&gt;'Tax Tables'!$A$5:$A$17)*(L295-'Tax Tables'!$A$5:$A$17)*'Tax Tables'!$C$5:$C$17)</f>
        <v>10950</v>
      </c>
      <c r="N295" s="11" t="n">
        <f aca="false">IF(H295&lt;0,-1E+099,A295-E295-M295+J295+(E295+F295)*Calculator!$B$9)</f>
        <v>362445</v>
      </c>
      <c r="O295" s="2"/>
      <c r="P295" s="11" t="n">
        <f aca="false">282*$B$3</f>
        <v>141000</v>
      </c>
      <c r="Q295" s="11" t="n">
        <f aca="false">MIN(P295,'Tax Tables'!$B$31*'Tax Tables'!$B$32)</f>
        <v>96000</v>
      </c>
      <c r="R295" s="11" t="n">
        <f aca="false">P295-Q295</f>
        <v>45000</v>
      </c>
      <c r="S295" s="11" t="n">
        <f aca="false">IF(Calculator!$B$6="Yes",MIN(Q295,'Tax Tables'!$B$31*'Tax Tables'!$B$32),0)</f>
        <v>96000</v>
      </c>
      <c r="T295" s="11" t="n">
        <f aca="false">S295*Calculator!$B$7</f>
        <v>19200</v>
      </c>
      <c r="U295" s="11" t="n">
        <f aca="false">S295*Calculator!$B$8</f>
        <v>16320</v>
      </c>
      <c r="V295" s="11" t="n">
        <f aca="false">IF(Q295&gt;0,'Tax Tables'!$B$32*MIN(MAX(Q295/'Tax Tables'!$B$32*'Tax Tables'!$B$33,'Tax Tables'!$B$34),'Tax Tables'!$B$35),0)</f>
        <v>135</v>
      </c>
      <c r="W295" s="11" t="n">
        <f aca="false">Calculator!$B$5-P295-U295-V295</f>
        <v>242545</v>
      </c>
      <c r="X295" s="11" t="n">
        <f aca="false">'Tax Tables'!$B$22*(MAX(W295,0)-IF(Calculator!$B$10="Yes",MIN(MAX(W295,0),'Tax Tables'!$B$27)*'Tax Tables'!$B$28+MIN(MAX(MAX(W295,0)-'Tax Tables'!$B$27,0),'Tax Tables'!$B$29)*'Tax Tables'!$B$30,MIN(MAX(W295,0),'Tax Tables'!$B$23)*'Tax Tables'!$B$24+MIN(MAX(MAX(W295,0)-'Tax Tables'!$B$23,0),'Tax Tables'!$B$25)*'Tax Tables'!$B$26))*1-MIN('Tax Tables'!$B$22*(MAX(W295,0)-IF(Calculator!$B$10="Yes",MIN(MAX(W295,0),'Tax Tables'!$B$27)*'Tax Tables'!$B$28+MIN(MAX(MAX(W295,0)-'Tax Tables'!$B$27,0),'Tax Tables'!$B$29)*'Tax Tables'!$B$30,MIN(MAX(W295,0),'Tax Tables'!$B$23)*'Tax Tables'!$B$24+MIN(MAX(MAX(W295,0)-'Tax Tables'!$B$23,0),'Tax Tables'!$B$25)*'Tax Tables'!$B$26))*Calculator!$B$11,Calculator!$B$12)</f>
        <v>23807.65</v>
      </c>
      <c r="Y295" s="11" t="n">
        <f aca="false">MAX(W295,0)-X295</f>
        <v>218737.35</v>
      </c>
      <c r="Z295" s="11" t="n">
        <f aca="false">MIN(IF(P295&gt;0,Calculator!$B$13,0)+T295+Calculator!$B$14,'Tax Tables'!$B$36)</f>
        <v>20200</v>
      </c>
      <c r="AA295" s="11" t="n">
        <f aca="false">MAX(P295-Z295,0)</f>
        <v>120800</v>
      </c>
      <c r="AB295" s="11" t="n">
        <f aca="false">SUMPRODUCT((AA295&gt;'Tax Tables'!$A$5:$A$17)*(AA295-'Tax Tables'!$A$5:$A$17)*'Tax Tables'!$C$5:$C$17)</f>
        <v>8070</v>
      </c>
      <c r="AC295" s="11" t="n">
        <f aca="false">IF(W295&lt;0,-1E+099,P295-T295-AB295+Y295+(T295+U295)*Calculator!$B$9)</f>
        <v>367987.35</v>
      </c>
    </row>
    <row r="296" customFormat="false" ht="15" hidden="false" customHeight="false" outlineLevel="0" collapsed="false">
      <c r="A296" s="11" t="n">
        <f aca="false">283*$B$3</f>
        <v>141500</v>
      </c>
      <c r="B296" s="11" t="n">
        <f aca="false">0</f>
        <v>0</v>
      </c>
      <c r="C296" s="11" t="n">
        <f aca="false">A296-B296</f>
        <v>141500</v>
      </c>
      <c r="D296" s="11" t="n">
        <f aca="false">IF(Calculator!$B$6="Yes",MIN(B296,'Tax Tables'!$B$31*'Tax Tables'!$B$32),0)</f>
        <v>0</v>
      </c>
      <c r="E296" s="11" t="n">
        <f aca="false">D296*Calculator!$B$7</f>
        <v>0</v>
      </c>
      <c r="F296" s="11" t="n">
        <f aca="false">D296*Calculator!$B$8</f>
        <v>0</v>
      </c>
      <c r="G296" s="11" t="n">
        <f aca="false">IF(B296&gt;0,'Tax Tables'!$B$32*MIN(MAX(B296/'Tax Tables'!$B$32*'Tax Tables'!$B$33,'Tax Tables'!$B$34),'Tax Tables'!$B$35),0)</f>
        <v>0</v>
      </c>
      <c r="H296" s="11" t="n">
        <f aca="false">Calculator!$B$5-A296-F296-G296</f>
        <v>258500</v>
      </c>
      <c r="I296" s="11" t="n">
        <f aca="false">'Tax Tables'!$B$22*(MAX(H296,0)-IF(Calculator!$B$10="Yes",MIN(MAX(H296,0),'Tax Tables'!$B$27)*'Tax Tables'!$B$28+MIN(MAX(MAX(H296,0)-'Tax Tables'!$B$27,0),'Tax Tables'!$B$29)*'Tax Tables'!$B$30,MIN(MAX(H296,0),'Tax Tables'!$B$23)*'Tax Tables'!$B$24+MIN(MAX(MAX(H296,0)-'Tax Tables'!$B$23,0),'Tax Tables'!$B$25)*'Tax Tables'!$B$26))*1-MIN('Tax Tables'!$B$22*(MAX(H296,0)-IF(Calculator!$B$10="Yes",MIN(MAX(H296,0),'Tax Tables'!$B$27)*'Tax Tables'!$B$28+MIN(MAX(MAX(H296,0)-'Tax Tables'!$B$27,0),'Tax Tables'!$B$29)*'Tax Tables'!$B$30,MIN(MAX(H296,0),'Tax Tables'!$B$23)*'Tax Tables'!$B$24+MIN(MAX(MAX(H296,0)-'Tax Tables'!$B$23,0),'Tax Tables'!$B$25)*'Tax Tables'!$B$26))*Calculator!$B$11,Calculator!$B$12)</f>
        <v>26520</v>
      </c>
      <c r="J296" s="11" t="n">
        <f aca="false">MAX(H296,0)-I296</f>
        <v>231980</v>
      </c>
      <c r="K296" s="11" t="n">
        <f aca="false">MIN(IF(A296&gt;0,Calculator!$B$13,0)+E296+Calculator!$B$14,'Tax Tables'!$B$36)</f>
        <v>1000</v>
      </c>
      <c r="L296" s="11" t="n">
        <f aca="false">MAX(A296-K296,0)</f>
        <v>140500</v>
      </c>
      <c r="M296" s="11" t="n">
        <f aca="false">SUMPRODUCT((L296&gt;'Tax Tables'!$A$5:$A$17)*(L296-'Tax Tables'!$A$5:$A$17)*'Tax Tables'!$C$5:$C$17)</f>
        <v>11025</v>
      </c>
      <c r="N296" s="11" t="n">
        <f aca="false">IF(H296&lt;0,-1E+099,A296-E296-M296+J296+(E296+F296)*Calculator!$B$9)</f>
        <v>362455</v>
      </c>
      <c r="O296" s="2"/>
      <c r="P296" s="11" t="n">
        <f aca="false">283*$B$3</f>
        <v>141500</v>
      </c>
      <c r="Q296" s="11" t="n">
        <f aca="false">MIN(P296,'Tax Tables'!$B$31*'Tax Tables'!$B$32)</f>
        <v>96000</v>
      </c>
      <c r="R296" s="11" t="n">
        <f aca="false">P296-Q296</f>
        <v>45500</v>
      </c>
      <c r="S296" s="11" t="n">
        <f aca="false">IF(Calculator!$B$6="Yes",MIN(Q296,'Tax Tables'!$B$31*'Tax Tables'!$B$32),0)</f>
        <v>96000</v>
      </c>
      <c r="T296" s="11" t="n">
        <f aca="false">S296*Calculator!$B$7</f>
        <v>19200</v>
      </c>
      <c r="U296" s="11" t="n">
        <f aca="false">S296*Calculator!$B$8</f>
        <v>16320</v>
      </c>
      <c r="V296" s="11" t="n">
        <f aca="false">IF(Q296&gt;0,'Tax Tables'!$B$32*MIN(MAX(Q296/'Tax Tables'!$B$32*'Tax Tables'!$B$33,'Tax Tables'!$B$34),'Tax Tables'!$B$35),0)</f>
        <v>135</v>
      </c>
      <c r="W296" s="11" t="n">
        <f aca="false">Calculator!$B$5-P296-U296-V296</f>
        <v>242045</v>
      </c>
      <c r="X296" s="11" t="n">
        <f aca="false">'Tax Tables'!$B$22*(MAX(W296,0)-IF(Calculator!$B$10="Yes",MIN(MAX(W296,0),'Tax Tables'!$B$27)*'Tax Tables'!$B$28+MIN(MAX(MAX(W296,0)-'Tax Tables'!$B$27,0),'Tax Tables'!$B$29)*'Tax Tables'!$B$30,MIN(MAX(W296,0),'Tax Tables'!$B$23)*'Tax Tables'!$B$24+MIN(MAX(MAX(W296,0)-'Tax Tables'!$B$23,0),'Tax Tables'!$B$25)*'Tax Tables'!$B$26))*1-MIN('Tax Tables'!$B$22*(MAX(W296,0)-IF(Calculator!$B$10="Yes",MIN(MAX(W296,0),'Tax Tables'!$B$27)*'Tax Tables'!$B$28+MIN(MAX(MAX(W296,0)-'Tax Tables'!$B$27,0),'Tax Tables'!$B$29)*'Tax Tables'!$B$30,MIN(MAX(W296,0),'Tax Tables'!$B$23)*'Tax Tables'!$B$24+MIN(MAX(MAX(W296,0)-'Tax Tables'!$B$23,0),'Tax Tables'!$B$25)*'Tax Tables'!$B$26))*Calculator!$B$11,Calculator!$B$12)</f>
        <v>23722.65</v>
      </c>
      <c r="Y296" s="11" t="n">
        <f aca="false">MAX(W296,0)-X296</f>
        <v>218322.35</v>
      </c>
      <c r="Z296" s="11" t="n">
        <f aca="false">MIN(IF(P296&gt;0,Calculator!$B$13,0)+T296+Calculator!$B$14,'Tax Tables'!$B$36)</f>
        <v>20200</v>
      </c>
      <c r="AA296" s="11" t="n">
        <f aca="false">MAX(P296-Z296,0)</f>
        <v>121300</v>
      </c>
      <c r="AB296" s="11" t="n">
        <f aca="false">SUMPRODUCT((AA296&gt;'Tax Tables'!$A$5:$A$17)*(AA296-'Tax Tables'!$A$5:$A$17)*'Tax Tables'!$C$5:$C$17)</f>
        <v>8145</v>
      </c>
      <c r="AC296" s="11" t="n">
        <f aca="false">IF(W296&lt;0,-1E+099,P296-T296-AB296+Y296+(T296+U296)*Calculator!$B$9)</f>
        <v>367997.35</v>
      </c>
    </row>
    <row r="297" customFormat="false" ht="15" hidden="false" customHeight="false" outlineLevel="0" collapsed="false">
      <c r="A297" s="11" t="n">
        <f aca="false">284*$B$3</f>
        <v>142000</v>
      </c>
      <c r="B297" s="11" t="n">
        <f aca="false">0</f>
        <v>0</v>
      </c>
      <c r="C297" s="11" t="n">
        <f aca="false">A297-B297</f>
        <v>142000</v>
      </c>
      <c r="D297" s="11" t="n">
        <f aca="false">IF(Calculator!$B$6="Yes",MIN(B297,'Tax Tables'!$B$31*'Tax Tables'!$B$32),0)</f>
        <v>0</v>
      </c>
      <c r="E297" s="11" t="n">
        <f aca="false">D297*Calculator!$B$7</f>
        <v>0</v>
      </c>
      <c r="F297" s="11" t="n">
        <f aca="false">D297*Calculator!$B$8</f>
        <v>0</v>
      </c>
      <c r="G297" s="11" t="n">
        <f aca="false">IF(B297&gt;0,'Tax Tables'!$B$32*MIN(MAX(B297/'Tax Tables'!$B$32*'Tax Tables'!$B$33,'Tax Tables'!$B$34),'Tax Tables'!$B$35),0)</f>
        <v>0</v>
      </c>
      <c r="H297" s="11" t="n">
        <f aca="false">Calculator!$B$5-A297-F297-G297</f>
        <v>258000</v>
      </c>
      <c r="I297" s="11" t="n">
        <f aca="false">'Tax Tables'!$B$22*(MAX(H297,0)-IF(Calculator!$B$10="Yes",MIN(MAX(H297,0),'Tax Tables'!$B$27)*'Tax Tables'!$B$28+MIN(MAX(MAX(H297,0)-'Tax Tables'!$B$27,0),'Tax Tables'!$B$29)*'Tax Tables'!$B$30,MIN(MAX(H297,0),'Tax Tables'!$B$23)*'Tax Tables'!$B$24+MIN(MAX(MAX(H297,0)-'Tax Tables'!$B$23,0),'Tax Tables'!$B$25)*'Tax Tables'!$B$26))*1-MIN('Tax Tables'!$B$22*(MAX(H297,0)-IF(Calculator!$B$10="Yes",MIN(MAX(H297,0),'Tax Tables'!$B$27)*'Tax Tables'!$B$28+MIN(MAX(MAX(H297,0)-'Tax Tables'!$B$27,0),'Tax Tables'!$B$29)*'Tax Tables'!$B$30,MIN(MAX(H297,0),'Tax Tables'!$B$23)*'Tax Tables'!$B$24+MIN(MAX(MAX(H297,0)-'Tax Tables'!$B$23,0),'Tax Tables'!$B$25)*'Tax Tables'!$B$26))*Calculator!$B$11,Calculator!$B$12)</f>
        <v>26435</v>
      </c>
      <c r="J297" s="11" t="n">
        <f aca="false">MAX(H297,0)-I297</f>
        <v>231565</v>
      </c>
      <c r="K297" s="11" t="n">
        <f aca="false">MIN(IF(A297&gt;0,Calculator!$B$13,0)+E297+Calculator!$B$14,'Tax Tables'!$B$36)</f>
        <v>1000</v>
      </c>
      <c r="L297" s="11" t="n">
        <f aca="false">MAX(A297-K297,0)</f>
        <v>141000</v>
      </c>
      <c r="M297" s="11" t="n">
        <f aca="false">SUMPRODUCT((L297&gt;'Tax Tables'!$A$5:$A$17)*(L297-'Tax Tables'!$A$5:$A$17)*'Tax Tables'!$C$5:$C$17)</f>
        <v>11100</v>
      </c>
      <c r="N297" s="11" t="n">
        <f aca="false">IF(H297&lt;0,-1E+099,A297-E297-M297+J297+(E297+F297)*Calculator!$B$9)</f>
        <v>362465</v>
      </c>
      <c r="O297" s="2"/>
      <c r="P297" s="11" t="n">
        <f aca="false">284*$B$3</f>
        <v>142000</v>
      </c>
      <c r="Q297" s="11" t="n">
        <f aca="false">MIN(P297,'Tax Tables'!$B$31*'Tax Tables'!$B$32)</f>
        <v>96000</v>
      </c>
      <c r="R297" s="11" t="n">
        <f aca="false">P297-Q297</f>
        <v>46000</v>
      </c>
      <c r="S297" s="11" t="n">
        <f aca="false">IF(Calculator!$B$6="Yes",MIN(Q297,'Tax Tables'!$B$31*'Tax Tables'!$B$32),0)</f>
        <v>96000</v>
      </c>
      <c r="T297" s="11" t="n">
        <f aca="false">S297*Calculator!$B$7</f>
        <v>19200</v>
      </c>
      <c r="U297" s="11" t="n">
        <f aca="false">S297*Calculator!$B$8</f>
        <v>16320</v>
      </c>
      <c r="V297" s="11" t="n">
        <f aca="false">IF(Q297&gt;0,'Tax Tables'!$B$32*MIN(MAX(Q297/'Tax Tables'!$B$32*'Tax Tables'!$B$33,'Tax Tables'!$B$34),'Tax Tables'!$B$35),0)</f>
        <v>135</v>
      </c>
      <c r="W297" s="11" t="n">
        <f aca="false">Calculator!$B$5-P297-U297-V297</f>
        <v>241545</v>
      </c>
      <c r="X297" s="11" t="n">
        <f aca="false">'Tax Tables'!$B$22*(MAX(W297,0)-IF(Calculator!$B$10="Yes",MIN(MAX(W297,0),'Tax Tables'!$B$27)*'Tax Tables'!$B$28+MIN(MAX(MAX(W297,0)-'Tax Tables'!$B$27,0),'Tax Tables'!$B$29)*'Tax Tables'!$B$30,MIN(MAX(W297,0),'Tax Tables'!$B$23)*'Tax Tables'!$B$24+MIN(MAX(MAX(W297,0)-'Tax Tables'!$B$23,0),'Tax Tables'!$B$25)*'Tax Tables'!$B$26))*1-MIN('Tax Tables'!$B$22*(MAX(W297,0)-IF(Calculator!$B$10="Yes",MIN(MAX(W297,0),'Tax Tables'!$B$27)*'Tax Tables'!$B$28+MIN(MAX(MAX(W297,0)-'Tax Tables'!$B$27,0),'Tax Tables'!$B$29)*'Tax Tables'!$B$30,MIN(MAX(W297,0),'Tax Tables'!$B$23)*'Tax Tables'!$B$24+MIN(MAX(MAX(W297,0)-'Tax Tables'!$B$23,0),'Tax Tables'!$B$25)*'Tax Tables'!$B$26))*Calculator!$B$11,Calculator!$B$12)</f>
        <v>23637.65</v>
      </c>
      <c r="Y297" s="11" t="n">
        <f aca="false">MAX(W297,0)-X297</f>
        <v>217907.35</v>
      </c>
      <c r="Z297" s="11" t="n">
        <f aca="false">MIN(IF(P297&gt;0,Calculator!$B$13,0)+T297+Calculator!$B$14,'Tax Tables'!$B$36)</f>
        <v>20200</v>
      </c>
      <c r="AA297" s="11" t="n">
        <f aca="false">MAX(P297-Z297,0)</f>
        <v>121800</v>
      </c>
      <c r="AB297" s="11" t="n">
        <f aca="false">SUMPRODUCT((AA297&gt;'Tax Tables'!$A$5:$A$17)*(AA297-'Tax Tables'!$A$5:$A$17)*'Tax Tables'!$C$5:$C$17)</f>
        <v>8220</v>
      </c>
      <c r="AC297" s="11" t="n">
        <f aca="false">IF(W297&lt;0,-1E+099,P297-T297-AB297+Y297+(T297+U297)*Calculator!$B$9)</f>
        <v>368007.35</v>
      </c>
    </row>
    <row r="298" customFormat="false" ht="15" hidden="false" customHeight="false" outlineLevel="0" collapsed="false">
      <c r="A298" s="11" t="n">
        <f aca="false">285*$B$3</f>
        <v>142500</v>
      </c>
      <c r="B298" s="11" t="n">
        <f aca="false">0</f>
        <v>0</v>
      </c>
      <c r="C298" s="11" t="n">
        <f aca="false">A298-B298</f>
        <v>142500</v>
      </c>
      <c r="D298" s="11" t="n">
        <f aca="false">IF(Calculator!$B$6="Yes",MIN(B298,'Tax Tables'!$B$31*'Tax Tables'!$B$32),0)</f>
        <v>0</v>
      </c>
      <c r="E298" s="11" t="n">
        <f aca="false">D298*Calculator!$B$7</f>
        <v>0</v>
      </c>
      <c r="F298" s="11" t="n">
        <f aca="false">D298*Calculator!$B$8</f>
        <v>0</v>
      </c>
      <c r="G298" s="11" t="n">
        <f aca="false">IF(B298&gt;0,'Tax Tables'!$B$32*MIN(MAX(B298/'Tax Tables'!$B$32*'Tax Tables'!$B$33,'Tax Tables'!$B$34),'Tax Tables'!$B$35),0)</f>
        <v>0</v>
      </c>
      <c r="H298" s="11" t="n">
        <f aca="false">Calculator!$B$5-A298-F298-G298</f>
        <v>257500</v>
      </c>
      <c r="I298" s="11" t="n">
        <f aca="false">'Tax Tables'!$B$22*(MAX(H298,0)-IF(Calculator!$B$10="Yes",MIN(MAX(H298,0),'Tax Tables'!$B$27)*'Tax Tables'!$B$28+MIN(MAX(MAX(H298,0)-'Tax Tables'!$B$27,0),'Tax Tables'!$B$29)*'Tax Tables'!$B$30,MIN(MAX(H298,0),'Tax Tables'!$B$23)*'Tax Tables'!$B$24+MIN(MAX(MAX(H298,0)-'Tax Tables'!$B$23,0),'Tax Tables'!$B$25)*'Tax Tables'!$B$26))*1-MIN('Tax Tables'!$B$22*(MAX(H298,0)-IF(Calculator!$B$10="Yes",MIN(MAX(H298,0),'Tax Tables'!$B$27)*'Tax Tables'!$B$28+MIN(MAX(MAX(H298,0)-'Tax Tables'!$B$27,0),'Tax Tables'!$B$29)*'Tax Tables'!$B$30,MIN(MAX(H298,0),'Tax Tables'!$B$23)*'Tax Tables'!$B$24+MIN(MAX(MAX(H298,0)-'Tax Tables'!$B$23,0),'Tax Tables'!$B$25)*'Tax Tables'!$B$26))*Calculator!$B$11,Calculator!$B$12)</f>
        <v>26350</v>
      </c>
      <c r="J298" s="11" t="n">
        <f aca="false">MAX(H298,0)-I298</f>
        <v>231150</v>
      </c>
      <c r="K298" s="11" t="n">
        <f aca="false">MIN(IF(A298&gt;0,Calculator!$B$13,0)+E298+Calculator!$B$14,'Tax Tables'!$B$36)</f>
        <v>1000</v>
      </c>
      <c r="L298" s="11" t="n">
        <f aca="false">MAX(A298-K298,0)</f>
        <v>141500</v>
      </c>
      <c r="M298" s="11" t="n">
        <f aca="false">SUMPRODUCT((L298&gt;'Tax Tables'!$A$5:$A$17)*(L298-'Tax Tables'!$A$5:$A$17)*'Tax Tables'!$C$5:$C$17)</f>
        <v>11175</v>
      </c>
      <c r="N298" s="11" t="n">
        <f aca="false">IF(H298&lt;0,-1E+099,A298-E298-M298+J298+(E298+F298)*Calculator!$B$9)</f>
        <v>362475</v>
      </c>
      <c r="O298" s="2"/>
      <c r="P298" s="11" t="n">
        <f aca="false">285*$B$3</f>
        <v>142500</v>
      </c>
      <c r="Q298" s="11" t="n">
        <f aca="false">MIN(P298,'Tax Tables'!$B$31*'Tax Tables'!$B$32)</f>
        <v>96000</v>
      </c>
      <c r="R298" s="11" t="n">
        <f aca="false">P298-Q298</f>
        <v>46500</v>
      </c>
      <c r="S298" s="11" t="n">
        <f aca="false">IF(Calculator!$B$6="Yes",MIN(Q298,'Tax Tables'!$B$31*'Tax Tables'!$B$32),0)</f>
        <v>96000</v>
      </c>
      <c r="T298" s="11" t="n">
        <f aca="false">S298*Calculator!$B$7</f>
        <v>19200</v>
      </c>
      <c r="U298" s="11" t="n">
        <f aca="false">S298*Calculator!$B$8</f>
        <v>16320</v>
      </c>
      <c r="V298" s="11" t="n">
        <f aca="false">IF(Q298&gt;0,'Tax Tables'!$B$32*MIN(MAX(Q298/'Tax Tables'!$B$32*'Tax Tables'!$B$33,'Tax Tables'!$B$34),'Tax Tables'!$B$35),0)</f>
        <v>135</v>
      </c>
      <c r="W298" s="11" t="n">
        <f aca="false">Calculator!$B$5-P298-U298-V298</f>
        <v>241045</v>
      </c>
      <c r="X298" s="11" t="n">
        <f aca="false">'Tax Tables'!$B$22*(MAX(W298,0)-IF(Calculator!$B$10="Yes",MIN(MAX(W298,0),'Tax Tables'!$B$27)*'Tax Tables'!$B$28+MIN(MAX(MAX(W298,0)-'Tax Tables'!$B$27,0),'Tax Tables'!$B$29)*'Tax Tables'!$B$30,MIN(MAX(W298,0),'Tax Tables'!$B$23)*'Tax Tables'!$B$24+MIN(MAX(MAX(W298,0)-'Tax Tables'!$B$23,0),'Tax Tables'!$B$25)*'Tax Tables'!$B$26))*1-MIN('Tax Tables'!$B$22*(MAX(W298,0)-IF(Calculator!$B$10="Yes",MIN(MAX(W298,0),'Tax Tables'!$B$27)*'Tax Tables'!$B$28+MIN(MAX(MAX(W298,0)-'Tax Tables'!$B$27,0),'Tax Tables'!$B$29)*'Tax Tables'!$B$30,MIN(MAX(W298,0),'Tax Tables'!$B$23)*'Tax Tables'!$B$24+MIN(MAX(MAX(W298,0)-'Tax Tables'!$B$23,0),'Tax Tables'!$B$25)*'Tax Tables'!$B$26))*Calculator!$B$11,Calculator!$B$12)</f>
        <v>23552.65</v>
      </c>
      <c r="Y298" s="11" t="n">
        <f aca="false">MAX(W298,0)-X298</f>
        <v>217492.35</v>
      </c>
      <c r="Z298" s="11" t="n">
        <f aca="false">MIN(IF(P298&gt;0,Calculator!$B$13,0)+T298+Calculator!$B$14,'Tax Tables'!$B$36)</f>
        <v>20200</v>
      </c>
      <c r="AA298" s="11" t="n">
        <f aca="false">MAX(P298-Z298,0)</f>
        <v>122300</v>
      </c>
      <c r="AB298" s="11" t="n">
        <f aca="false">SUMPRODUCT((AA298&gt;'Tax Tables'!$A$5:$A$17)*(AA298-'Tax Tables'!$A$5:$A$17)*'Tax Tables'!$C$5:$C$17)</f>
        <v>8295</v>
      </c>
      <c r="AC298" s="11" t="n">
        <f aca="false">IF(W298&lt;0,-1E+099,P298-T298-AB298+Y298+(T298+U298)*Calculator!$B$9)</f>
        <v>368017.35</v>
      </c>
    </row>
    <row r="299" customFormat="false" ht="15" hidden="false" customHeight="false" outlineLevel="0" collapsed="false">
      <c r="A299" s="11" t="n">
        <f aca="false">286*$B$3</f>
        <v>143000</v>
      </c>
      <c r="B299" s="11" t="n">
        <f aca="false">0</f>
        <v>0</v>
      </c>
      <c r="C299" s="11" t="n">
        <f aca="false">A299-B299</f>
        <v>143000</v>
      </c>
      <c r="D299" s="11" t="n">
        <f aca="false">IF(Calculator!$B$6="Yes",MIN(B299,'Tax Tables'!$B$31*'Tax Tables'!$B$32),0)</f>
        <v>0</v>
      </c>
      <c r="E299" s="11" t="n">
        <f aca="false">D299*Calculator!$B$7</f>
        <v>0</v>
      </c>
      <c r="F299" s="11" t="n">
        <f aca="false">D299*Calculator!$B$8</f>
        <v>0</v>
      </c>
      <c r="G299" s="11" t="n">
        <f aca="false">IF(B299&gt;0,'Tax Tables'!$B$32*MIN(MAX(B299/'Tax Tables'!$B$32*'Tax Tables'!$B$33,'Tax Tables'!$B$34),'Tax Tables'!$B$35),0)</f>
        <v>0</v>
      </c>
      <c r="H299" s="11" t="n">
        <f aca="false">Calculator!$B$5-A299-F299-G299</f>
        <v>257000</v>
      </c>
      <c r="I299" s="11" t="n">
        <f aca="false">'Tax Tables'!$B$22*(MAX(H299,0)-IF(Calculator!$B$10="Yes",MIN(MAX(H299,0),'Tax Tables'!$B$27)*'Tax Tables'!$B$28+MIN(MAX(MAX(H299,0)-'Tax Tables'!$B$27,0),'Tax Tables'!$B$29)*'Tax Tables'!$B$30,MIN(MAX(H299,0),'Tax Tables'!$B$23)*'Tax Tables'!$B$24+MIN(MAX(MAX(H299,0)-'Tax Tables'!$B$23,0),'Tax Tables'!$B$25)*'Tax Tables'!$B$26))*1-MIN('Tax Tables'!$B$22*(MAX(H299,0)-IF(Calculator!$B$10="Yes",MIN(MAX(H299,0),'Tax Tables'!$B$27)*'Tax Tables'!$B$28+MIN(MAX(MAX(H299,0)-'Tax Tables'!$B$27,0),'Tax Tables'!$B$29)*'Tax Tables'!$B$30,MIN(MAX(H299,0),'Tax Tables'!$B$23)*'Tax Tables'!$B$24+MIN(MAX(MAX(H299,0)-'Tax Tables'!$B$23,0),'Tax Tables'!$B$25)*'Tax Tables'!$B$26))*Calculator!$B$11,Calculator!$B$12)</f>
        <v>26265</v>
      </c>
      <c r="J299" s="11" t="n">
        <f aca="false">MAX(H299,0)-I299</f>
        <v>230735</v>
      </c>
      <c r="K299" s="11" t="n">
        <f aca="false">MIN(IF(A299&gt;0,Calculator!$B$13,0)+E299+Calculator!$B$14,'Tax Tables'!$B$36)</f>
        <v>1000</v>
      </c>
      <c r="L299" s="11" t="n">
        <f aca="false">MAX(A299-K299,0)</f>
        <v>142000</v>
      </c>
      <c r="M299" s="11" t="n">
        <f aca="false">SUMPRODUCT((L299&gt;'Tax Tables'!$A$5:$A$17)*(L299-'Tax Tables'!$A$5:$A$17)*'Tax Tables'!$C$5:$C$17)</f>
        <v>11250</v>
      </c>
      <c r="N299" s="11" t="n">
        <f aca="false">IF(H299&lt;0,-1E+099,A299-E299-M299+J299+(E299+F299)*Calculator!$B$9)</f>
        <v>362485</v>
      </c>
      <c r="O299" s="2"/>
      <c r="P299" s="11" t="n">
        <f aca="false">286*$B$3</f>
        <v>143000</v>
      </c>
      <c r="Q299" s="11" t="n">
        <f aca="false">MIN(P299,'Tax Tables'!$B$31*'Tax Tables'!$B$32)</f>
        <v>96000</v>
      </c>
      <c r="R299" s="11" t="n">
        <f aca="false">P299-Q299</f>
        <v>47000</v>
      </c>
      <c r="S299" s="11" t="n">
        <f aca="false">IF(Calculator!$B$6="Yes",MIN(Q299,'Tax Tables'!$B$31*'Tax Tables'!$B$32),0)</f>
        <v>96000</v>
      </c>
      <c r="T299" s="11" t="n">
        <f aca="false">S299*Calculator!$B$7</f>
        <v>19200</v>
      </c>
      <c r="U299" s="11" t="n">
        <f aca="false">S299*Calculator!$B$8</f>
        <v>16320</v>
      </c>
      <c r="V299" s="11" t="n">
        <f aca="false">IF(Q299&gt;0,'Tax Tables'!$B$32*MIN(MAX(Q299/'Tax Tables'!$B$32*'Tax Tables'!$B$33,'Tax Tables'!$B$34),'Tax Tables'!$B$35),0)</f>
        <v>135</v>
      </c>
      <c r="W299" s="11" t="n">
        <f aca="false">Calculator!$B$5-P299-U299-V299</f>
        <v>240545</v>
      </c>
      <c r="X299" s="11" t="n">
        <f aca="false">'Tax Tables'!$B$22*(MAX(W299,0)-IF(Calculator!$B$10="Yes",MIN(MAX(W299,0),'Tax Tables'!$B$27)*'Tax Tables'!$B$28+MIN(MAX(MAX(W299,0)-'Tax Tables'!$B$27,0),'Tax Tables'!$B$29)*'Tax Tables'!$B$30,MIN(MAX(W299,0),'Tax Tables'!$B$23)*'Tax Tables'!$B$24+MIN(MAX(MAX(W299,0)-'Tax Tables'!$B$23,0),'Tax Tables'!$B$25)*'Tax Tables'!$B$26))*1-MIN('Tax Tables'!$B$22*(MAX(W299,0)-IF(Calculator!$B$10="Yes",MIN(MAX(W299,0),'Tax Tables'!$B$27)*'Tax Tables'!$B$28+MIN(MAX(MAX(W299,0)-'Tax Tables'!$B$27,0),'Tax Tables'!$B$29)*'Tax Tables'!$B$30,MIN(MAX(W299,0),'Tax Tables'!$B$23)*'Tax Tables'!$B$24+MIN(MAX(MAX(W299,0)-'Tax Tables'!$B$23,0),'Tax Tables'!$B$25)*'Tax Tables'!$B$26))*Calculator!$B$11,Calculator!$B$12)</f>
        <v>23467.65</v>
      </c>
      <c r="Y299" s="11" t="n">
        <f aca="false">MAX(W299,0)-X299</f>
        <v>217077.35</v>
      </c>
      <c r="Z299" s="11" t="n">
        <f aca="false">MIN(IF(P299&gt;0,Calculator!$B$13,0)+T299+Calculator!$B$14,'Tax Tables'!$B$36)</f>
        <v>20200</v>
      </c>
      <c r="AA299" s="11" t="n">
        <f aca="false">MAX(P299-Z299,0)</f>
        <v>122800</v>
      </c>
      <c r="AB299" s="11" t="n">
        <f aca="false">SUMPRODUCT((AA299&gt;'Tax Tables'!$A$5:$A$17)*(AA299-'Tax Tables'!$A$5:$A$17)*'Tax Tables'!$C$5:$C$17)</f>
        <v>8370</v>
      </c>
      <c r="AC299" s="11" t="n">
        <f aca="false">IF(W299&lt;0,-1E+099,P299-T299-AB299+Y299+(T299+U299)*Calculator!$B$9)</f>
        <v>368027.35</v>
      </c>
    </row>
    <row r="300" customFormat="false" ht="15" hidden="false" customHeight="false" outlineLevel="0" collapsed="false">
      <c r="A300" s="11" t="n">
        <f aca="false">287*$B$3</f>
        <v>143500</v>
      </c>
      <c r="B300" s="11" t="n">
        <f aca="false">0</f>
        <v>0</v>
      </c>
      <c r="C300" s="11" t="n">
        <f aca="false">A300-B300</f>
        <v>143500</v>
      </c>
      <c r="D300" s="11" t="n">
        <f aca="false">IF(Calculator!$B$6="Yes",MIN(B300,'Tax Tables'!$B$31*'Tax Tables'!$B$32),0)</f>
        <v>0</v>
      </c>
      <c r="E300" s="11" t="n">
        <f aca="false">D300*Calculator!$B$7</f>
        <v>0</v>
      </c>
      <c r="F300" s="11" t="n">
        <f aca="false">D300*Calculator!$B$8</f>
        <v>0</v>
      </c>
      <c r="G300" s="11" t="n">
        <f aca="false">IF(B300&gt;0,'Tax Tables'!$B$32*MIN(MAX(B300/'Tax Tables'!$B$32*'Tax Tables'!$B$33,'Tax Tables'!$B$34),'Tax Tables'!$B$35),0)</f>
        <v>0</v>
      </c>
      <c r="H300" s="11" t="n">
        <f aca="false">Calculator!$B$5-A300-F300-G300</f>
        <v>256500</v>
      </c>
      <c r="I300" s="11" t="n">
        <f aca="false">'Tax Tables'!$B$22*(MAX(H300,0)-IF(Calculator!$B$10="Yes",MIN(MAX(H300,0),'Tax Tables'!$B$27)*'Tax Tables'!$B$28+MIN(MAX(MAX(H300,0)-'Tax Tables'!$B$27,0),'Tax Tables'!$B$29)*'Tax Tables'!$B$30,MIN(MAX(H300,0),'Tax Tables'!$B$23)*'Tax Tables'!$B$24+MIN(MAX(MAX(H300,0)-'Tax Tables'!$B$23,0),'Tax Tables'!$B$25)*'Tax Tables'!$B$26))*1-MIN('Tax Tables'!$B$22*(MAX(H300,0)-IF(Calculator!$B$10="Yes",MIN(MAX(H300,0),'Tax Tables'!$B$27)*'Tax Tables'!$B$28+MIN(MAX(MAX(H300,0)-'Tax Tables'!$B$27,0),'Tax Tables'!$B$29)*'Tax Tables'!$B$30,MIN(MAX(H300,0),'Tax Tables'!$B$23)*'Tax Tables'!$B$24+MIN(MAX(MAX(H300,0)-'Tax Tables'!$B$23,0),'Tax Tables'!$B$25)*'Tax Tables'!$B$26))*Calculator!$B$11,Calculator!$B$12)</f>
        <v>26180</v>
      </c>
      <c r="J300" s="11" t="n">
        <f aca="false">MAX(H300,0)-I300</f>
        <v>230320</v>
      </c>
      <c r="K300" s="11" t="n">
        <f aca="false">MIN(IF(A300&gt;0,Calculator!$B$13,0)+E300+Calculator!$B$14,'Tax Tables'!$B$36)</f>
        <v>1000</v>
      </c>
      <c r="L300" s="11" t="n">
        <f aca="false">MAX(A300-K300,0)</f>
        <v>142500</v>
      </c>
      <c r="M300" s="11" t="n">
        <f aca="false">SUMPRODUCT((L300&gt;'Tax Tables'!$A$5:$A$17)*(L300-'Tax Tables'!$A$5:$A$17)*'Tax Tables'!$C$5:$C$17)</f>
        <v>11325</v>
      </c>
      <c r="N300" s="11" t="n">
        <f aca="false">IF(H300&lt;0,-1E+099,A300-E300-M300+J300+(E300+F300)*Calculator!$B$9)</f>
        <v>362495</v>
      </c>
      <c r="O300" s="2"/>
      <c r="P300" s="11" t="n">
        <f aca="false">287*$B$3</f>
        <v>143500</v>
      </c>
      <c r="Q300" s="11" t="n">
        <f aca="false">MIN(P300,'Tax Tables'!$B$31*'Tax Tables'!$B$32)</f>
        <v>96000</v>
      </c>
      <c r="R300" s="11" t="n">
        <f aca="false">P300-Q300</f>
        <v>47500</v>
      </c>
      <c r="S300" s="11" t="n">
        <f aca="false">IF(Calculator!$B$6="Yes",MIN(Q300,'Tax Tables'!$B$31*'Tax Tables'!$B$32),0)</f>
        <v>96000</v>
      </c>
      <c r="T300" s="11" t="n">
        <f aca="false">S300*Calculator!$B$7</f>
        <v>19200</v>
      </c>
      <c r="U300" s="11" t="n">
        <f aca="false">S300*Calculator!$B$8</f>
        <v>16320</v>
      </c>
      <c r="V300" s="11" t="n">
        <f aca="false">IF(Q300&gt;0,'Tax Tables'!$B$32*MIN(MAX(Q300/'Tax Tables'!$B$32*'Tax Tables'!$B$33,'Tax Tables'!$B$34),'Tax Tables'!$B$35),0)</f>
        <v>135</v>
      </c>
      <c r="W300" s="11" t="n">
        <f aca="false">Calculator!$B$5-P300-U300-V300</f>
        <v>240045</v>
      </c>
      <c r="X300" s="11" t="n">
        <f aca="false">'Tax Tables'!$B$22*(MAX(W300,0)-IF(Calculator!$B$10="Yes",MIN(MAX(W300,0),'Tax Tables'!$B$27)*'Tax Tables'!$B$28+MIN(MAX(MAX(W300,0)-'Tax Tables'!$B$27,0),'Tax Tables'!$B$29)*'Tax Tables'!$B$30,MIN(MAX(W300,0),'Tax Tables'!$B$23)*'Tax Tables'!$B$24+MIN(MAX(MAX(W300,0)-'Tax Tables'!$B$23,0),'Tax Tables'!$B$25)*'Tax Tables'!$B$26))*1-MIN('Tax Tables'!$B$22*(MAX(W300,0)-IF(Calculator!$B$10="Yes",MIN(MAX(W300,0),'Tax Tables'!$B$27)*'Tax Tables'!$B$28+MIN(MAX(MAX(W300,0)-'Tax Tables'!$B$27,0),'Tax Tables'!$B$29)*'Tax Tables'!$B$30,MIN(MAX(W300,0),'Tax Tables'!$B$23)*'Tax Tables'!$B$24+MIN(MAX(MAX(W300,0)-'Tax Tables'!$B$23,0),'Tax Tables'!$B$25)*'Tax Tables'!$B$26))*Calculator!$B$11,Calculator!$B$12)</f>
        <v>23382.65</v>
      </c>
      <c r="Y300" s="11" t="n">
        <f aca="false">MAX(W300,0)-X300</f>
        <v>216662.35</v>
      </c>
      <c r="Z300" s="11" t="n">
        <f aca="false">MIN(IF(P300&gt;0,Calculator!$B$13,0)+T300+Calculator!$B$14,'Tax Tables'!$B$36)</f>
        <v>20200</v>
      </c>
      <c r="AA300" s="11" t="n">
        <f aca="false">MAX(P300-Z300,0)</f>
        <v>123300</v>
      </c>
      <c r="AB300" s="11" t="n">
        <f aca="false">SUMPRODUCT((AA300&gt;'Tax Tables'!$A$5:$A$17)*(AA300-'Tax Tables'!$A$5:$A$17)*'Tax Tables'!$C$5:$C$17)</f>
        <v>8445</v>
      </c>
      <c r="AC300" s="11" t="n">
        <f aca="false">IF(W300&lt;0,-1E+099,P300-T300-AB300+Y300+(T300+U300)*Calculator!$B$9)</f>
        <v>368037.35</v>
      </c>
    </row>
    <row r="301" customFormat="false" ht="15" hidden="false" customHeight="false" outlineLevel="0" collapsed="false">
      <c r="A301" s="11" t="n">
        <f aca="false">288*$B$3</f>
        <v>144000</v>
      </c>
      <c r="B301" s="11" t="n">
        <f aca="false">0</f>
        <v>0</v>
      </c>
      <c r="C301" s="11" t="n">
        <f aca="false">A301-B301</f>
        <v>144000</v>
      </c>
      <c r="D301" s="11" t="n">
        <f aca="false">IF(Calculator!$B$6="Yes",MIN(B301,'Tax Tables'!$B$31*'Tax Tables'!$B$32),0)</f>
        <v>0</v>
      </c>
      <c r="E301" s="11" t="n">
        <f aca="false">D301*Calculator!$B$7</f>
        <v>0</v>
      </c>
      <c r="F301" s="11" t="n">
        <f aca="false">D301*Calculator!$B$8</f>
        <v>0</v>
      </c>
      <c r="G301" s="11" t="n">
        <f aca="false">IF(B301&gt;0,'Tax Tables'!$B$32*MIN(MAX(B301/'Tax Tables'!$B$32*'Tax Tables'!$B$33,'Tax Tables'!$B$34),'Tax Tables'!$B$35),0)</f>
        <v>0</v>
      </c>
      <c r="H301" s="11" t="n">
        <f aca="false">Calculator!$B$5-A301-F301-G301</f>
        <v>256000</v>
      </c>
      <c r="I301" s="11" t="n">
        <f aca="false">'Tax Tables'!$B$22*(MAX(H301,0)-IF(Calculator!$B$10="Yes",MIN(MAX(H301,0),'Tax Tables'!$B$27)*'Tax Tables'!$B$28+MIN(MAX(MAX(H301,0)-'Tax Tables'!$B$27,0),'Tax Tables'!$B$29)*'Tax Tables'!$B$30,MIN(MAX(H301,0),'Tax Tables'!$B$23)*'Tax Tables'!$B$24+MIN(MAX(MAX(H301,0)-'Tax Tables'!$B$23,0),'Tax Tables'!$B$25)*'Tax Tables'!$B$26))*1-MIN('Tax Tables'!$B$22*(MAX(H301,0)-IF(Calculator!$B$10="Yes",MIN(MAX(H301,0),'Tax Tables'!$B$27)*'Tax Tables'!$B$28+MIN(MAX(MAX(H301,0)-'Tax Tables'!$B$27,0),'Tax Tables'!$B$29)*'Tax Tables'!$B$30,MIN(MAX(H301,0),'Tax Tables'!$B$23)*'Tax Tables'!$B$24+MIN(MAX(MAX(H301,0)-'Tax Tables'!$B$23,0),'Tax Tables'!$B$25)*'Tax Tables'!$B$26))*Calculator!$B$11,Calculator!$B$12)</f>
        <v>26095</v>
      </c>
      <c r="J301" s="11" t="n">
        <f aca="false">MAX(H301,0)-I301</f>
        <v>229905</v>
      </c>
      <c r="K301" s="11" t="n">
        <f aca="false">MIN(IF(A301&gt;0,Calculator!$B$13,0)+E301+Calculator!$B$14,'Tax Tables'!$B$36)</f>
        <v>1000</v>
      </c>
      <c r="L301" s="11" t="n">
        <f aca="false">MAX(A301-K301,0)</f>
        <v>143000</v>
      </c>
      <c r="M301" s="11" t="n">
        <f aca="false">SUMPRODUCT((L301&gt;'Tax Tables'!$A$5:$A$17)*(L301-'Tax Tables'!$A$5:$A$17)*'Tax Tables'!$C$5:$C$17)</f>
        <v>11400</v>
      </c>
      <c r="N301" s="11" t="n">
        <f aca="false">IF(H301&lt;0,-1E+099,A301-E301-M301+J301+(E301+F301)*Calculator!$B$9)</f>
        <v>362505</v>
      </c>
      <c r="O301" s="2"/>
      <c r="P301" s="11" t="n">
        <f aca="false">288*$B$3</f>
        <v>144000</v>
      </c>
      <c r="Q301" s="11" t="n">
        <f aca="false">MIN(P301,'Tax Tables'!$B$31*'Tax Tables'!$B$32)</f>
        <v>96000</v>
      </c>
      <c r="R301" s="11" t="n">
        <f aca="false">P301-Q301</f>
        <v>48000</v>
      </c>
      <c r="S301" s="11" t="n">
        <f aca="false">IF(Calculator!$B$6="Yes",MIN(Q301,'Tax Tables'!$B$31*'Tax Tables'!$B$32),0)</f>
        <v>96000</v>
      </c>
      <c r="T301" s="11" t="n">
        <f aca="false">S301*Calculator!$B$7</f>
        <v>19200</v>
      </c>
      <c r="U301" s="11" t="n">
        <f aca="false">S301*Calculator!$B$8</f>
        <v>16320</v>
      </c>
      <c r="V301" s="11" t="n">
        <f aca="false">IF(Q301&gt;0,'Tax Tables'!$B$32*MIN(MAX(Q301/'Tax Tables'!$B$32*'Tax Tables'!$B$33,'Tax Tables'!$B$34),'Tax Tables'!$B$35),0)</f>
        <v>135</v>
      </c>
      <c r="W301" s="11" t="n">
        <f aca="false">Calculator!$B$5-P301-U301-V301</f>
        <v>239545</v>
      </c>
      <c r="X301" s="11" t="n">
        <f aca="false">'Tax Tables'!$B$22*(MAX(W301,0)-IF(Calculator!$B$10="Yes",MIN(MAX(W301,0),'Tax Tables'!$B$27)*'Tax Tables'!$B$28+MIN(MAX(MAX(W301,0)-'Tax Tables'!$B$27,0),'Tax Tables'!$B$29)*'Tax Tables'!$B$30,MIN(MAX(W301,0),'Tax Tables'!$B$23)*'Tax Tables'!$B$24+MIN(MAX(MAX(W301,0)-'Tax Tables'!$B$23,0),'Tax Tables'!$B$25)*'Tax Tables'!$B$26))*1-MIN('Tax Tables'!$B$22*(MAX(W301,0)-IF(Calculator!$B$10="Yes",MIN(MAX(W301,0),'Tax Tables'!$B$27)*'Tax Tables'!$B$28+MIN(MAX(MAX(W301,0)-'Tax Tables'!$B$27,0),'Tax Tables'!$B$29)*'Tax Tables'!$B$30,MIN(MAX(W301,0),'Tax Tables'!$B$23)*'Tax Tables'!$B$24+MIN(MAX(MAX(W301,0)-'Tax Tables'!$B$23,0),'Tax Tables'!$B$25)*'Tax Tables'!$B$26))*Calculator!$B$11,Calculator!$B$12)</f>
        <v>23297.65</v>
      </c>
      <c r="Y301" s="11" t="n">
        <f aca="false">MAX(W301,0)-X301</f>
        <v>216247.35</v>
      </c>
      <c r="Z301" s="11" t="n">
        <f aca="false">MIN(IF(P301&gt;0,Calculator!$B$13,0)+T301+Calculator!$B$14,'Tax Tables'!$B$36)</f>
        <v>20200</v>
      </c>
      <c r="AA301" s="11" t="n">
        <f aca="false">MAX(P301-Z301,0)</f>
        <v>123800</v>
      </c>
      <c r="AB301" s="11" t="n">
        <f aca="false">SUMPRODUCT((AA301&gt;'Tax Tables'!$A$5:$A$17)*(AA301-'Tax Tables'!$A$5:$A$17)*'Tax Tables'!$C$5:$C$17)</f>
        <v>8520</v>
      </c>
      <c r="AC301" s="11" t="n">
        <f aca="false">IF(W301&lt;0,-1E+099,P301-T301-AB301+Y301+(T301+U301)*Calculator!$B$9)</f>
        <v>368047.35</v>
      </c>
    </row>
    <row r="302" customFormat="false" ht="15" hidden="false" customHeight="false" outlineLevel="0" collapsed="false">
      <c r="A302" s="11" t="n">
        <f aca="false">289*$B$3</f>
        <v>144500</v>
      </c>
      <c r="B302" s="11" t="n">
        <f aca="false">0</f>
        <v>0</v>
      </c>
      <c r="C302" s="11" t="n">
        <f aca="false">A302-B302</f>
        <v>144500</v>
      </c>
      <c r="D302" s="11" t="n">
        <f aca="false">IF(Calculator!$B$6="Yes",MIN(B302,'Tax Tables'!$B$31*'Tax Tables'!$B$32),0)</f>
        <v>0</v>
      </c>
      <c r="E302" s="11" t="n">
        <f aca="false">D302*Calculator!$B$7</f>
        <v>0</v>
      </c>
      <c r="F302" s="11" t="n">
        <f aca="false">D302*Calculator!$B$8</f>
        <v>0</v>
      </c>
      <c r="G302" s="11" t="n">
        <f aca="false">IF(B302&gt;0,'Tax Tables'!$B$32*MIN(MAX(B302/'Tax Tables'!$B$32*'Tax Tables'!$B$33,'Tax Tables'!$B$34),'Tax Tables'!$B$35),0)</f>
        <v>0</v>
      </c>
      <c r="H302" s="11" t="n">
        <f aca="false">Calculator!$B$5-A302-F302-G302</f>
        <v>255500</v>
      </c>
      <c r="I302" s="11" t="n">
        <f aca="false">'Tax Tables'!$B$22*(MAX(H302,0)-IF(Calculator!$B$10="Yes",MIN(MAX(H302,0),'Tax Tables'!$B$27)*'Tax Tables'!$B$28+MIN(MAX(MAX(H302,0)-'Tax Tables'!$B$27,0),'Tax Tables'!$B$29)*'Tax Tables'!$B$30,MIN(MAX(H302,0),'Tax Tables'!$B$23)*'Tax Tables'!$B$24+MIN(MAX(MAX(H302,0)-'Tax Tables'!$B$23,0),'Tax Tables'!$B$25)*'Tax Tables'!$B$26))*1-MIN('Tax Tables'!$B$22*(MAX(H302,0)-IF(Calculator!$B$10="Yes",MIN(MAX(H302,0),'Tax Tables'!$B$27)*'Tax Tables'!$B$28+MIN(MAX(MAX(H302,0)-'Tax Tables'!$B$27,0),'Tax Tables'!$B$29)*'Tax Tables'!$B$30,MIN(MAX(H302,0),'Tax Tables'!$B$23)*'Tax Tables'!$B$24+MIN(MAX(MAX(H302,0)-'Tax Tables'!$B$23,0),'Tax Tables'!$B$25)*'Tax Tables'!$B$26))*Calculator!$B$11,Calculator!$B$12)</f>
        <v>26010</v>
      </c>
      <c r="J302" s="11" t="n">
        <f aca="false">MAX(H302,0)-I302</f>
        <v>229490</v>
      </c>
      <c r="K302" s="11" t="n">
        <f aca="false">MIN(IF(A302&gt;0,Calculator!$B$13,0)+E302+Calculator!$B$14,'Tax Tables'!$B$36)</f>
        <v>1000</v>
      </c>
      <c r="L302" s="11" t="n">
        <f aca="false">MAX(A302-K302,0)</f>
        <v>143500</v>
      </c>
      <c r="M302" s="11" t="n">
        <f aca="false">SUMPRODUCT((L302&gt;'Tax Tables'!$A$5:$A$17)*(L302-'Tax Tables'!$A$5:$A$17)*'Tax Tables'!$C$5:$C$17)</f>
        <v>11475</v>
      </c>
      <c r="N302" s="11" t="n">
        <f aca="false">IF(H302&lt;0,-1E+099,A302-E302-M302+J302+(E302+F302)*Calculator!$B$9)</f>
        <v>362515</v>
      </c>
      <c r="O302" s="2"/>
      <c r="P302" s="11" t="n">
        <f aca="false">289*$B$3</f>
        <v>144500</v>
      </c>
      <c r="Q302" s="11" t="n">
        <f aca="false">MIN(P302,'Tax Tables'!$B$31*'Tax Tables'!$B$32)</f>
        <v>96000</v>
      </c>
      <c r="R302" s="11" t="n">
        <f aca="false">P302-Q302</f>
        <v>48500</v>
      </c>
      <c r="S302" s="11" t="n">
        <f aca="false">IF(Calculator!$B$6="Yes",MIN(Q302,'Tax Tables'!$B$31*'Tax Tables'!$B$32),0)</f>
        <v>96000</v>
      </c>
      <c r="T302" s="11" t="n">
        <f aca="false">S302*Calculator!$B$7</f>
        <v>19200</v>
      </c>
      <c r="U302" s="11" t="n">
        <f aca="false">S302*Calculator!$B$8</f>
        <v>16320</v>
      </c>
      <c r="V302" s="11" t="n">
        <f aca="false">IF(Q302&gt;0,'Tax Tables'!$B$32*MIN(MAX(Q302/'Tax Tables'!$B$32*'Tax Tables'!$B$33,'Tax Tables'!$B$34),'Tax Tables'!$B$35),0)</f>
        <v>135</v>
      </c>
      <c r="W302" s="11" t="n">
        <f aca="false">Calculator!$B$5-P302-U302-V302</f>
        <v>239045</v>
      </c>
      <c r="X302" s="11" t="n">
        <f aca="false">'Tax Tables'!$B$22*(MAX(W302,0)-IF(Calculator!$B$10="Yes",MIN(MAX(W302,0),'Tax Tables'!$B$27)*'Tax Tables'!$B$28+MIN(MAX(MAX(W302,0)-'Tax Tables'!$B$27,0),'Tax Tables'!$B$29)*'Tax Tables'!$B$30,MIN(MAX(W302,0),'Tax Tables'!$B$23)*'Tax Tables'!$B$24+MIN(MAX(MAX(W302,0)-'Tax Tables'!$B$23,0),'Tax Tables'!$B$25)*'Tax Tables'!$B$26))*1-MIN('Tax Tables'!$B$22*(MAX(W302,0)-IF(Calculator!$B$10="Yes",MIN(MAX(W302,0),'Tax Tables'!$B$27)*'Tax Tables'!$B$28+MIN(MAX(MAX(W302,0)-'Tax Tables'!$B$27,0),'Tax Tables'!$B$29)*'Tax Tables'!$B$30,MIN(MAX(W302,0),'Tax Tables'!$B$23)*'Tax Tables'!$B$24+MIN(MAX(MAX(W302,0)-'Tax Tables'!$B$23,0),'Tax Tables'!$B$25)*'Tax Tables'!$B$26))*Calculator!$B$11,Calculator!$B$12)</f>
        <v>23212.65</v>
      </c>
      <c r="Y302" s="11" t="n">
        <f aca="false">MAX(W302,0)-X302</f>
        <v>215832.35</v>
      </c>
      <c r="Z302" s="11" t="n">
        <f aca="false">MIN(IF(P302&gt;0,Calculator!$B$13,0)+T302+Calculator!$B$14,'Tax Tables'!$B$36)</f>
        <v>20200</v>
      </c>
      <c r="AA302" s="11" t="n">
        <f aca="false">MAX(P302-Z302,0)</f>
        <v>124300</v>
      </c>
      <c r="AB302" s="11" t="n">
        <f aca="false">SUMPRODUCT((AA302&gt;'Tax Tables'!$A$5:$A$17)*(AA302-'Tax Tables'!$A$5:$A$17)*'Tax Tables'!$C$5:$C$17)</f>
        <v>8595</v>
      </c>
      <c r="AC302" s="11" t="n">
        <f aca="false">IF(W302&lt;0,-1E+099,P302-T302-AB302+Y302+(T302+U302)*Calculator!$B$9)</f>
        <v>368057.35</v>
      </c>
    </row>
    <row r="303" customFormat="false" ht="15" hidden="false" customHeight="false" outlineLevel="0" collapsed="false">
      <c r="A303" s="11" t="n">
        <f aca="false">290*$B$3</f>
        <v>145000</v>
      </c>
      <c r="B303" s="11" t="n">
        <f aca="false">0</f>
        <v>0</v>
      </c>
      <c r="C303" s="11" t="n">
        <f aca="false">A303-B303</f>
        <v>145000</v>
      </c>
      <c r="D303" s="11" t="n">
        <f aca="false">IF(Calculator!$B$6="Yes",MIN(B303,'Tax Tables'!$B$31*'Tax Tables'!$B$32),0)</f>
        <v>0</v>
      </c>
      <c r="E303" s="11" t="n">
        <f aca="false">D303*Calculator!$B$7</f>
        <v>0</v>
      </c>
      <c r="F303" s="11" t="n">
        <f aca="false">D303*Calculator!$B$8</f>
        <v>0</v>
      </c>
      <c r="G303" s="11" t="n">
        <f aca="false">IF(B303&gt;0,'Tax Tables'!$B$32*MIN(MAX(B303/'Tax Tables'!$B$32*'Tax Tables'!$B$33,'Tax Tables'!$B$34),'Tax Tables'!$B$35),0)</f>
        <v>0</v>
      </c>
      <c r="H303" s="11" t="n">
        <f aca="false">Calculator!$B$5-A303-F303-G303</f>
        <v>255000</v>
      </c>
      <c r="I303" s="11" t="n">
        <f aca="false">'Tax Tables'!$B$22*(MAX(H303,0)-IF(Calculator!$B$10="Yes",MIN(MAX(H303,0),'Tax Tables'!$B$27)*'Tax Tables'!$B$28+MIN(MAX(MAX(H303,0)-'Tax Tables'!$B$27,0),'Tax Tables'!$B$29)*'Tax Tables'!$B$30,MIN(MAX(H303,0),'Tax Tables'!$B$23)*'Tax Tables'!$B$24+MIN(MAX(MAX(H303,0)-'Tax Tables'!$B$23,0),'Tax Tables'!$B$25)*'Tax Tables'!$B$26))*1-MIN('Tax Tables'!$B$22*(MAX(H303,0)-IF(Calculator!$B$10="Yes",MIN(MAX(H303,0),'Tax Tables'!$B$27)*'Tax Tables'!$B$28+MIN(MAX(MAX(H303,0)-'Tax Tables'!$B$27,0),'Tax Tables'!$B$29)*'Tax Tables'!$B$30,MIN(MAX(H303,0),'Tax Tables'!$B$23)*'Tax Tables'!$B$24+MIN(MAX(MAX(H303,0)-'Tax Tables'!$B$23,0),'Tax Tables'!$B$25)*'Tax Tables'!$B$26))*Calculator!$B$11,Calculator!$B$12)</f>
        <v>25925</v>
      </c>
      <c r="J303" s="11" t="n">
        <f aca="false">MAX(H303,0)-I303</f>
        <v>229075</v>
      </c>
      <c r="K303" s="11" t="n">
        <f aca="false">MIN(IF(A303&gt;0,Calculator!$B$13,0)+E303+Calculator!$B$14,'Tax Tables'!$B$36)</f>
        <v>1000</v>
      </c>
      <c r="L303" s="11" t="n">
        <f aca="false">MAX(A303-K303,0)</f>
        <v>144000</v>
      </c>
      <c r="M303" s="11" t="n">
        <f aca="false">SUMPRODUCT((L303&gt;'Tax Tables'!$A$5:$A$17)*(L303-'Tax Tables'!$A$5:$A$17)*'Tax Tables'!$C$5:$C$17)</f>
        <v>11550</v>
      </c>
      <c r="N303" s="11" t="n">
        <f aca="false">IF(H303&lt;0,-1E+099,A303-E303-M303+J303+(E303+F303)*Calculator!$B$9)</f>
        <v>362525</v>
      </c>
      <c r="O303" s="2"/>
      <c r="P303" s="11" t="n">
        <f aca="false">290*$B$3</f>
        <v>145000</v>
      </c>
      <c r="Q303" s="11" t="n">
        <f aca="false">MIN(P303,'Tax Tables'!$B$31*'Tax Tables'!$B$32)</f>
        <v>96000</v>
      </c>
      <c r="R303" s="11" t="n">
        <f aca="false">P303-Q303</f>
        <v>49000</v>
      </c>
      <c r="S303" s="11" t="n">
        <f aca="false">IF(Calculator!$B$6="Yes",MIN(Q303,'Tax Tables'!$B$31*'Tax Tables'!$B$32),0)</f>
        <v>96000</v>
      </c>
      <c r="T303" s="11" t="n">
        <f aca="false">S303*Calculator!$B$7</f>
        <v>19200</v>
      </c>
      <c r="U303" s="11" t="n">
        <f aca="false">S303*Calculator!$B$8</f>
        <v>16320</v>
      </c>
      <c r="V303" s="11" t="n">
        <f aca="false">IF(Q303&gt;0,'Tax Tables'!$B$32*MIN(MAX(Q303/'Tax Tables'!$B$32*'Tax Tables'!$B$33,'Tax Tables'!$B$34),'Tax Tables'!$B$35),0)</f>
        <v>135</v>
      </c>
      <c r="W303" s="11" t="n">
        <f aca="false">Calculator!$B$5-P303-U303-V303</f>
        <v>238545</v>
      </c>
      <c r="X303" s="11" t="n">
        <f aca="false">'Tax Tables'!$B$22*(MAX(W303,0)-IF(Calculator!$B$10="Yes",MIN(MAX(W303,0),'Tax Tables'!$B$27)*'Tax Tables'!$B$28+MIN(MAX(MAX(W303,0)-'Tax Tables'!$B$27,0),'Tax Tables'!$B$29)*'Tax Tables'!$B$30,MIN(MAX(W303,0),'Tax Tables'!$B$23)*'Tax Tables'!$B$24+MIN(MAX(MAX(W303,0)-'Tax Tables'!$B$23,0),'Tax Tables'!$B$25)*'Tax Tables'!$B$26))*1-MIN('Tax Tables'!$B$22*(MAX(W303,0)-IF(Calculator!$B$10="Yes",MIN(MAX(W303,0),'Tax Tables'!$B$27)*'Tax Tables'!$B$28+MIN(MAX(MAX(W303,0)-'Tax Tables'!$B$27,0),'Tax Tables'!$B$29)*'Tax Tables'!$B$30,MIN(MAX(W303,0),'Tax Tables'!$B$23)*'Tax Tables'!$B$24+MIN(MAX(MAX(W303,0)-'Tax Tables'!$B$23,0),'Tax Tables'!$B$25)*'Tax Tables'!$B$26))*Calculator!$B$11,Calculator!$B$12)</f>
        <v>23127.65</v>
      </c>
      <c r="Y303" s="11" t="n">
        <f aca="false">MAX(W303,0)-X303</f>
        <v>215417.35</v>
      </c>
      <c r="Z303" s="11" t="n">
        <f aca="false">MIN(IF(P303&gt;0,Calculator!$B$13,0)+T303+Calculator!$B$14,'Tax Tables'!$B$36)</f>
        <v>20200</v>
      </c>
      <c r="AA303" s="11" t="n">
        <f aca="false">MAX(P303-Z303,0)</f>
        <v>124800</v>
      </c>
      <c r="AB303" s="11" t="n">
        <f aca="false">SUMPRODUCT((AA303&gt;'Tax Tables'!$A$5:$A$17)*(AA303-'Tax Tables'!$A$5:$A$17)*'Tax Tables'!$C$5:$C$17)</f>
        <v>8670</v>
      </c>
      <c r="AC303" s="11" t="n">
        <f aca="false">IF(W303&lt;0,-1E+099,P303-T303-AB303+Y303+(T303+U303)*Calculator!$B$9)</f>
        <v>368067.35</v>
      </c>
    </row>
    <row r="304" customFormat="false" ht="15" hidden="false" customHeight="false" outlineLevel="0" collapsed="false">
      <c r="A304" s="11" t="n">
        <f aca="false">291*$B$3</f>
        <v>145500</v>
      </c>
      <c r="B304" s="11" t="n">
        <f aca="false">0</f>
        <v>0</v>
      </c>
      <c r="C304" s="11" t="n">
        <f aca="false">A304-B304</f>
        <v>145500</v>
      </c>
      <c r="D304" s="11" t="n">
        <f aca="false">IF(Calculator!$B$6="Yes",MIN(B304,'Tax Tables'!$B$31*'Tax Tables'!$B$32),0)</f>
        <v>0</v>
      </c>
      <c r="E304" s="11" t="n">
        <f aca="false">D304*Calculator!$B$7</f>
        <v>0</v>
      </c>
      <c r="F304" s="11" t="n">
        <f aca="false">D304*Calculator!$B$8</f>
        <v>0</v>
      </c>
      <c r="G304" s="11" t="n">
        <f aca="false">IF(B304&gt;0,'Tax Tables'!$B$32*MIN(MAX(B304/'Tax Tables'!$B$32*'Tax Tables'!$B$33,'Tax Tables'!$B$34),'Tax Tables'!$B$35),0)</f>
        <v>0</v>
      </c>
      <c r="H304" s="11" t="n">
        <f aca="false">Calculator!$B$5-A304-F304-G304</f>
        <v>254500</v>
      </c>
      <c r="I304" s="11" t="n">
        <f aca="false">'Tax Tables'!$B$22*(MAX(H304,0)-IF(Calculator!$B$10="Yes",MIN(MAX(H304,0),'Tax Tables'!$B$27)*'Tax Tables'!$B$28+MIN(MAX(MAX(H304,0)-'Tax Tables'!$B$27,0),'Tax Tables'!$B$29)*'Tax Tables'!$B$30,MIN(MAX(H304,0),'Tax Tables'!$B$23)*'Tax Tables'!$B$24+MIN(MAX(MAX(H304,0)-'Tax Tables'!$B$23,0),'Tax Tables'!$B$25)*'Tax Tables'!$B$26))*1-MIN('Tax Tables'!$B$22*(MAX(H304,0)-IF(Calculator!$B$10="Yes",MIN(MAX(H304,0),'Tax Tables'!$B$27)*'Tax Tables'!$B$28+MIN(MAX(MAX(H304,0)-'Tax Tables'!$B$27,0),'Tax Tables'!$B$29)*'Tax Tables'!$B$30,MIN(MAX(H304,0),'Tax Tables'!$B$23)*'Tax Tables'!$B$24+MIN(MAX(MAX(H304,0)-'Tax Tables'!$B$23,0),'Tax Tables'!$B$25)*'Tax Tables'!$B$26))*Calculator!$B$11,Calculator!$B$12)</f>
        <v>25840</v>
      </c>
      <c r="J304" s="11" t="n">
        <f aca="false">MAX(H304,0)-I304</f>
        <v>228660</v>
      </c>
      <c r="K304" s="11" t="n">
        <f aca="false">MIN(IF(A304&gt;0,Calculator!$B$13,0)+E304+Calculator!$B$14,'Tax Tables'!$B$36)</f>
        <v>1000</v>
      </c>
      <c r="L304" s="11" t="n">
        <f aca="false">MAX(A304-K304,0)</f>
        <v>144500</v>
      </c>
      <c r="M304" s="11" t="n">
        <f aca="false">SUMPRODUCT((L304&gt;'Tax Tables'!$A$5:$A$17)*(L304-'Tax Tables'!$A$5:$A$17)*'Tax Tables'!$C$5:$C$17)</f>
        <v>11625</v>
      </c>
      <c r="N304" s="11" t="n">
        <f aca="false">IF(H304&lt;0,-1E+099,A304-E304-M304+J304+(E304+F304)*Calculator!$B$9)</f>
        <v>362535</v>
      </c>
      <c r="O304" s="2"/>
      <c r="P304" s="11" t="n">
        <f aca="false">291*$B$3</f>
        <v>145500</v>
      </c>
      <c r="Q304" s="11" t="n">
        <f aca="false">MIN(P304,'Tax Tables'!$B$31*'Tax Tables'!$B$32)</f>
        <v>96000</v>
      </c>
      <c r="R304" s="11" t="n">
        <f aca="false">P304-Q304</f>
        <v>49500</v>
      </c>
      <c r="S304" s="11" t="n">
        <f aca="false">IF(Calculator!$B$6="Yes",MIN(Q304,'Tax Tables'!$B$31*'Tax Tables'!$B$32),0)</f>
        <v>96000</v>
      </c>
      <c r="T304" s="11" t="n">
        <f aca="false">S304*Calculator!$B$7</f>
        <v>19200</v>
      </c>
      <c r="U304" s="11" t="n">
        <f aca="false">S304*Calculator!$B$8</f>
        <v>16320</v>
      </c>
      <c r="V304" s="11" t="n">
        <f aca="false">IF(Q304&gt;0,'Tax Tables'!$B$32*MIN(MAX(Q304/'Tax Tables'!$B$32*'Tax Tables'!$B$33,'Tax Tables'!$B$34),'Tax Tables'!$B$35),0)</f>
        <v>135</v>
      </c>
      <c r="W304" s="11" t="n">
        <f aca="false">Calculator!$B$5-P304-U304-V304</f>
        <v>238045</v>
      </c>
      <c r="X304" s="11" t="n">
        <f aca="false">'Tax Tables'!$B$22*(MAX(W304,0)-IF(Calculator!$B$10="Yes",MIN(MAX(W304,0),'Tax Tables'!$B$27)*'Tax Tables'!$B$28+MIN(MAX(MAX(W304,0)-'Tax Tables'!$B$27,0),'Tax Tables'!$B$29)*'Tax Tables'!$B$30,MIN(MAX(W304,0),'Tax Tables'!$B$23)*'Tax Tables'!$B$24+MIN(MAX(MAX(W304,0)-'Tax Tables'!$B$23,0),'Tax Tables'!$B$25)*'Tax Tables'!$B$26))*1-MIN('Tax Tables'!$B$22*(MAX(W304,0)-IF(Calculator!$B$10="Yes",MIN(MAX(W304,0),'Tax Tables'!$B$27)*'Tax Tables'!$B$28+MIN(MAX(MAX(W304,0)-'Tax Tables'!$B$27,0),'Tax Tables'!$B$29)*'Tax Tables'!$B$30,MIN(MAX(W304,0),'Tax Tables'!$B$23)*'Tax Tables'!$B$24+MIN(MAX(MAX(W304,0)-'Tax Tables'!$B$23,0),'Tax Tables'!$B$25)*'Tax Tables'!$B$26))*Calculator!$B$11,Calculator!$B$12)</f>
        <v>23042.65</v>
      </c>
      <c r="Y304" s="11" t="n">
        <f aca="false">MAX(W304,0)-X304</f>
        <v>215002.35</v>
      </c>
      <c r="Z304" s="11" t="n">
        <f aca="false">MIN(IF(P304&gt;0,Calculator!$B$13,0)+T304+Calculator!$B$14,'Tax Tables'!$B$36)</f>
        <v>20200</v>
      </c>
      <c r="AA304" s="11" t="n">
        <f aca="false">MAX(P304-Z304,0)</f>
        <v>125300</v>
      </c>
      <c r="AB304" s="11" t="n">
        <f aca="false">SUMPRODUCT((AA304&gt;'Tax Tables'!$A$5:$A$17)*(AA304-'Tax Tables'!$A$5:$A$17)*'Tax Tables'!$C$5:$C$17)</f>
        <v>8745</v>
      </c>
      <c r="AC304" s="11" t="n">
        <f aca="false">IF(W304&lt;0,-1E+099,P304-T304-AB304+Y304+(T304+U304)*Calculator!$B$9)</f>
        <v>368077.35</v>
      </c>
    </row>
    <row r="305" customFormat="false" ht="15" hidden="false" customHeight="false" outlineLevel="0" collapsed="false">
      <c r="A305" s="11" t="n">
        <f aca="false">292*$B$3</f>
        <v>146000</v>
      </c>
      <c r="B305" s="11" t="n">
        <f aca="false">0</f>
        <v>0</v>
      </c>
      <c r="C305" s="11" t="n">
        <f aca="false">A305-B305</f>
        <v>146000</v>
      </c>
      <c r="D305" s="11" t="n">
        <f aca="false">IF(Calculator!$B$6="Yes",MIN(B305,'Tax Tables'!$B$31*'Tax Tables'!$B$32),0)</f>
        <v>0</v>
      </c>
      <c r="E305" s="11" t="n">
        <f aca="false">D305*Calculator!$B$7</f>
        <v>0</v>
      </c>
      <c r="F305" s="11" t="n">
        <f aca="false">D305*Calculator!$B$8</f>
        <v>0</v>
      </c>
      <c r="G305" s="11" t="n">
        <f aca="false">IF(B305&gt;0,'Tax Tables'!$B$32*MIN(MAX(B305/'Tax Tables'!$B$32*'Tax Tables'!$B$33,'Tax Tables'!$B$34),'Tax Tables'!$B$35),0)</f>
        <v>0</v>
      </c>
      <c r="H305" s="11" t="n">
        <f aca="false">Calculator!$B$5-A305-F305-G305</f>
        <v>254000</v>
      </c>
      <c r="I305" s="11" t="n">
        <f aca="false">'Tax Tables'!$B$22*(MAX(H305,0)-IF(Calculator!$B$10="Yes",MIN(MAX(H305,0),'Tax Tables'!$B$27)*'Tax Tables'!$B$28+MIN(MAX(MAX(H305,0)-'Tax Tables'!$B$27,0),'Tax Tables'!$B$29)*'Tax Tables'!$B$30,MIN(MAX(H305,0),'Tax Tables'!$B$23)*'Tax Tables'!$B$24+MIN(MAX(MAX(H305,0)-'Tax Tables'!$B$23,0),'Tax Tables'!$B$25)*'Tax Tables'!$B$26))*1-MIN('Tax Tables'!$B$22*(MAX(H305,0)-IF(Calculator!$B$10="Yes",MIN(MAX(H305,0),'Tax Tables'!$B$27)*'Tax Tables'!$B$28+MIN(MAX(MAX(H305,0)-'Tax Tables'!$B$27,0),'Tax Tables'!$B$29)*'Tax Tables'!$B$30,MIN(MAX(H305,0),'Tax Tables'!$B$23)*'Tax Tables'!$B$24+MIN(MAX(MAX(H305,0)-'Tax Tables'!$B$23,0),'Tax Tables'!$B$25)*'Tax Tables'!$B$26))*Calculator!$B$11,Calculator!$B$12)</f>
        <v>25755</v>
      </c>
      <c r="J305" s="11" t="n">
        <f aca="false">MAX(H305,0)-I305</f>
        <v>228245</v>
      </c>
      <c r="K305" s="11" t="n">
        <f aca="false">MIN(IF(A305&gt;0,Calculator!$B$13,0)+E305+Calculator!$B$14,'Tax Tables'!$B$36)</f>
        <v>1000</v>
      </c>
      <c r="L305" s="11" t="n">
        <f aca="false">MAX(A305-K305,0)</f>
        <v>145000</v>
      </c>
      <c r="M305" s="11" t="n">
        <f aca="false">SUMPRODUCT((L305&gt;'Tax Tables'!$A$5:$A$17)*(L305-'Tax Tables'!$A$5:$A$17)*'Tax Tables'!$C$5:$C$17)</f>
        <v>11700</v>
      </c>
      <c r="N305" s="11" t="n">
        <f aca="false">IF(H305&lt;0,-1E+099,A305-E305-M305+J305+(E305+F305)*Calculator!$B$9)</f>
        <v>362545</v>
      </c>
      <c r="O305" s="2"/>
      <c r="P305" s="11" t="n">
        <f aca="false">292*$B$3</f>
        <v>146000</v>
      </c>
      <c r="Q305" s="11" t="n">
        <f aca="false">MIN(P305,'Tax Tables'!$B$31*'Tax Tables'!$B$32)</f>
        <v>96000</v>
      </c>
      <c r="R305" s="11" t="n">
        <f aca="false">P305-Q305</f>
        <v>50000</v>
      </c>
      <c r="S305" s="11" t="n">
        <f aca="false">IF(Calculator!$B$6="Yes",MIN(Q305,'Tax Tables'!$B$31*'Tax Tables'!$B$32),0)</f>
        <v>96000</v>
      </c>
      <c r="T305" s="11" t="n">
        <f aca="false">S305*Calculator!$B$7</f>
        <v>19200</v>
      </c>
      <c r="U305" s="11" t="n">
        <f aca="false">S305*Calculator!$B$8</f>
        <v>16320</v>
      </c>
      <c r="V305" s="11" t="n">
        <f aca="false">IF(Q305&gt;0,'Tax Tables'!$B$32*MIN(MAX(Q305/'Tax Tables'!$B$32*'Tax Tables'!$B$33,'Tax Tables'!$B$34),'Tax Tables'!$B$35),0)</f>
        <v>135</v>
      </c>
      <c r="W305" s="11" t="n">
        <f aca="false">Calculator!$B$5-P305-U305-V305</f>
        <v>237545</v>
      </c>
      <c r="X305" s="11" t="n">
        <f aca="false">'Tax Tables'!$B$22*(MAX(W305,0)-IF(Calculator!$B$10="Yes",MIN(MAX(W305,0),'Tax Tables'!$B$27)*'Tax Tables'!$B$28+MIN(MAX(MAX(W305,0)-'Tax Tables'!$B$27,0),'Tax Tables'!$B$29)*'Tax Tables'!$B$30,MIN(MAX(W305,0),'Tax Tables'!$B$23)*'Tax Tables'!$B$24+MIN(MAX(MAX(W305,0)-'Tax Tables'!$B$23,0),'Tax Tables'!$B$25)*'Tax Tables'!$B$26))*1-MIN('Tax Tables'!$B$22*(MAX(W305,0)-IF(Calculator!$B$10="Yes",MIN(MAX(W305,0),'Tax Tables'!$B$27)*'Tax Tables'!$B$28+MIN(MAX(MAX(W305,0)-'Tax Tables'!$B$27,0),'Tax Tables'!$B$29)*'Tax Tables'!$B$30,MIN(MAX(W305,0),'Tax Tables'!$B$23)*'Tax Tables'!$B$24+MIN(MAX(MAX(W305,0)-'Tax Tables'!$B$23,0),'Tax Tables'!$B$25)*'Tax Tables'!$B$26))*Calculator!$B$11,Calculator!$B$12)</f>
        <v>22957.65</v>
      </c>
      <c r="Y305" s="11" t="n">
        <f aca="false">MAX(W305,0)-X305</f>
        <v>214587.35</v>
      </c>
      <c r="Z305" s="11" t="n">
        <f aca="false">MIN(IF(P305&gt;0,Calculator!$B$13,0)+T305+Calculator!$B$14,'Tax Tables'!$B$36)</f>
        <v>20200</v>
      </c>
      <c r="AA305" s="11" t="n">
        <f aca="false">MAX(P305-Z305,0)</f>
        <v>125800</v>
      </c>
      <c r="AB305" s="11" t="n">
        <f aca="false">SUMPRODUCT((AA305&gt;'Tax Tables'!$A$5:$A$17)*(AA305-'Tax Tables'!$A$5:$A$17)*'Tax Tables'!$C$5:$C$17)</f>
        <v>8820</v>
      </c>
      <c r="AC305" s="11" t="n">
        <f aca="false">IF(W305&lt;0,-1E+099,P305-T305-AB305+Y305+(T305+U305)*Calculator!$B$9)</f>
        <v>368087.35</v>
      </c>
    </row>
    <row r="306" customFormat="false" ht="15" hidden="false" customHeight="false" outlineLevel="0" collapsed="false">
      <c r="A306" s="11" t="n">
        <f aca="false">293*$B$3</f>
        <v>146500</v>
      </c>
      <c r="B306" s="11" t="n">
        <f aca="false">0</f>
        <v>0</v>
      </c>
      <c r="C306" s="11" t="n">
        <f aca="false">A306-B306</f>
        <v>146500</v>
      </c>
      <c r="D306" s="11" t="n">
        <f aca="false">IF(Calculator!$B$6="Yes",MIN(B306,'Tax Tables'!$B$31*'Tax Tables'!$B$32),0)</f>
        <v>0</v>
      </c>
      <c r="E306" s="11" t="n">
        <f aca="false">D306*Calculator!$B$7</f>
        <v>0</v>
      </c>
      <c r="F306" s="11" t="n">
        <f aca="false">D306*Calculator!$B$8</f>
        <v>0</v>
      </c>
      <c r="G306" s="11" t="n">
        <f aca="false">IF(B306&gt;0,'Tax Tables'!$B$32*MIN(MAX(B306/'Tax Tables'!$B$32*'Tax Tables'!$B$33,'Tax Tables'!$B$34),'Tax Tables'!$B$35),0)</f>
        <v>0</v>
      </c>
      <c r="H306" s="11" t="n">
        <f aca="false">Calculator!$B$5-A306-F306-G306</f>
        <v>253500</v>
      </c>
      <c r="I306" s="11" t="n">
        <f aca="false">'Tax Tables'!$B$22*(MAX(H306,0)-IF(Calculator!$B$10="Yes",MIN(MAX(H306,0),'Tax Tables'!$B$27)*'Tax Tables'!$B$28+MIN(MAX(MAX(H306,0)-'Tax Tables'!$B$27,0),'Tax Tables'!$B$29)*'Tax Tables'!$B$30,MIN(MAX(H306,0),'Tax Tables'!$B$23)*'Tax Tables'!$B$24+MIN(MAX(MAX(H306,0)-'Tax Tables'!$B$23,0),'Tax Tables'!$B$25)*'Tax Tables'!$B$26))*1-MIN('Tax Tables'!$B$22*(MAX(H306,0)-IF(Calculator!$B$10="Yes",MIN(MAX(H306,0),'Tax Tables'!$B$27)*'Tax Tables'!$B$28+MIN(MAX(MAX(H306,0)-'Tax Tables'!$B$27,0),'Tax Tables'!$B$29)*'Tax Tables'!$B$30,MIN(MAX(H306,0),'Tax Tables'!$B$23)*'Tax Tables'!$B$24+MIN(MAX(MAX(H306,0)-'Tax Tables'!$B$23,0),'Tax Tables'!$B$25)*'Tax Tables'!$B$26))*Calculator!$B$11,Calculator!$B$12)</f>
        <v>25670</v>
      </c>
      <c r="J306" s="11" t="n">
        <f aca="false">MAX(H306,0)-I306</f>
        <v>227830</v>
      </c>
      <c r="K306" s="11" t="n">
        <f aca="false">MIN(IF(A306&gt;0,Calculator!$B$13,0)+E306+Calculator!$B$14,'Tax Tables'!$B$36)</f>
        <v>1000</v>
      </c>
      <c r="L306" s="11" t="n">
        <f aca="false">MAX(A306-K306,0)</f>
        <v>145500</v>
      </c>
      <c r="M306" s="11" t="n">
        <f aca="false">SUMPRODUCT((L306&gt;'Tax Tables'!$A$5:$A$17)*(L306-'Tax Tables'!$A$5:$A$17)*'Tax Tables'!$C$5:$C$17)</f>
        <v>11775</v>
      </c>
      <c r="N306" s="11" t="n">
        <f aca="false">IF(H306&lt;0,-1E+099,A306-E306-M306+J306+(E306+F306)*Calculator!$B$9)</f>
        <v>362555</v>
      </c>
      <c r="O306" s="2"/>
      <c r="P306" s="11" t="n">
        <f aca="false">293*$B$3</f>
        <v>146500</v>
      </c>
      <c r="Q306" s="11" t="n">
        <f aca="false">MIN(P306,'Tax Tables'!$B$31*'Tax Tables'!$B$32)</f>
        <v>96000</v>
      </c>
      <c r="R306" s="11" t="n">
        <f aca="false">P306-Q306</f>
        <v>50500</v>
      </c>
      <c r="S306" s="11" t="n">
        <f aca="false">IF(Calculator!$B$6="Yes",MIN(Q306,'Tax Tables'!$B$31*'Tax Tables'!$B$32),0)</f>
        <v>96000</v>
      </c>
      <c r="T306" s="11" t="n">
        <f aca="false">S306*Calculator!$B$7</f>
        <v>19200</v>
      </c>
      <c r="U306" s="11" t="n">
        <f aca="false">S306*Calculator!$B$8</f>
        <v>16320</v>
      </c>
      <c r="V306" s="11" t="n">
        <f aca="false">IF(Q306&gt;0,'Tax Tables'!$B$32*MIN(MAX(Q306/'Tax Tables'!$B$32*'Tax Tables'!$B$33,'Tax Tables'!$B$34),'Tax Tables'!$B$35),0)</f>
        <v>135</v>
      </c>
      <c r="W306" s="11" t="n">
        <f aca="false">Calculator!$B$5-P306-U306-V306</f>
        <v>237045</v>
      </c>
      <c r="X306" s="11" t="n">
        <f aca="false">'Tax Tables'!$B$22*(MAX(W306,0)-IF(Calculator!$B$10="Yes",MIN(MAX(W306,0),'Tax Tables'!$B$27)*'Tax Tables'!$B$28+MIN(MAX(MAX(W306,0)-'Tax Tables'!$B$27,0),'Tax Tables'!$B$29)*'Tax Tables'!$B$30,MIN(MAX(W306,0),'Tax Tables'!$B$23)*'Tax Tables'!$B$24+MIN(MAX(MAX(W306,0)-'Tax Tables'!$B$23,0),'Tax Tables'!$B$25)*'Tax Tables'!$B$26))*1-MIN('Tax Tables'!$B$22*(MAX(W306,0)-IF(Calculator!$B$10="Yes",MIN(MAX(W306,0),'Tax Tables'!$B$27)*'Tax Tables'!$B$28+MIN(MAX(MAX(W306,0)-'Tax Tables'!$B$27,0),'Tax Tables'!$B$29)*'Tax Tables'!$B$30,MIN(MAX(W306,0),'Tax Tables'!$B$23)*'Tax Tables'!$B$24+MIN(MAX(MAX(W306,0)-'Tax Tables'!$B$23,0),'Tax Tables'!$B$25)*'Tax Tables'!$B$26))*Calculator!$B$11,Calculator!$B$12)</f>
        <v>22872.65</v>
      </c>
      <c r="Y306" s="11" t="n">
        <f aca="false">MAX(W306,0)-X306</f>
        <v>214172.35</v>
      </c>
      <c r="Z306" s="11" t="n">
        <f aca="false">MIN(IF(P306&gt;0,Calculator!$B$13,0)+T306+Calculator!$B$14,'Tax Tables'!$B$36)</f>
        <v>20200</v>
      </c>
      <c r="AA306" s="11" t="n">
        <f aca="false">MAX(P306-Z306,0)</f>
        <v>126300</v>
      </c>
      <c r="AB306" s="11" t="n">
        <f aca="false">SUMPRODUCT((AA306&gt;'Tax Tables'!$A$5:$A$17)*(AA306-'Tax Tables'!$A$5:$A$17)*'Tax Tables'!$C$5:$C$17)</f>
        <v>8895</v>
      </c>
      <c r="AC306" s="11" t="n">
        <f aca="false">IF(W306&lt;0,-1E+099,P306-T306-AB306+Y306+(T306+U306)*Calculator!$B$9)</f>
        <v>368097.35</v>
      </c>
    </row>
    <row r="307" customFormat="false" ht="15" hidden="false" customHeight="false" outlineLevel="0" collapsed="false">
      <c r="A307" s="11" t="n">
        <f aca="false">294*$B$3</f>
        <v>147000</v>
      </c>
      <c r="B307" s="11" t="n">
        <f aca="false">0</f>
        <v>0</v>
      </c>
      <c r="C307" s="11" t="n">
        <f aca="false">A307-B307</f>
        <v>147000</v>
      </c>
      <c r="D307" s="11" t="n">
        <f aca="false">IF(Calculator!$B$6="Yes",MIN(B307,'Tax Tables'!$B$31*'Tax Tables'!$B$32),0)</f>
        <v>0</v>
      </c>
      <c r="E307" s="11" t="n">
        <f aca="false">D307*Calculator!$B$7</f>
        <v>0</v>
      </c>
      <c r="F307" s="11" t="n">
        <f aca="false">D307*Calculator!$B$8</f>
        <v>0</v>
      </c>
      <c r="G307" s="11" t="n">
        <f aca="false">IF(B307&gt;0,'Tax Tables'!$B$32*MIN(MAX(B307/'Tax Tables'!$B$32*'Tax Tables'!$B$33,'Tax Tables'!$B$34),'Tax Tables'!$B$35),0)</f>
        <v>0</v>
      </c>
      <c r="H307" s="11" t="n">
        <f aca="false">Calculator!$B$5-A307-F307-G307</f>
        <v>253000</v>
      </c>
      <c r="I307" s="11" t="n">
        <f aca="false">'Tax Tables'!$B$22*(MAX(H307,0)-IF(Calculator!$B$10="Yes",MIN(MAX(H307,0),'Tax Tables'!$B$27)*'Tax Tables'!$B$28+MIN(MAX(MAX(H307,0)-'Tax Tables'!$B$27,0),'Tax Tables'!$B$29)*'Tax Tables'!$B$30,MIN(MAX(H307,0),'Tax Tables'!$B$23)*'Tax Tables'!$B$24+MIN(MAX(MAX(H307,0)-'Tax Tables'!$B$23,0),'Tax Tables'!$B$25)*'Tax Tables'!$B$26))*1-MIN('Tax Tables'!$B$22*(MAX(H307,0)-IF(Calculator!$B$10="Yes",MIN(MAX(H307,0),'Tax Tables'!$B$27)*'Tax Tables'!$B$28+MIN(MAX(MAX(H307,0)-'Tax Tables'!$B$27,0),'Tax Tables'!$B$29)*'Tax Tables'!$B$30,MIN(MAX(H307,0),'Tax Tables'!$B$23)*'Tax Tables'!$B$24+MIN(MAX(MAX(H307,0)-'Tax Tables'!$B$23,0),'Tax Tables'!$B$25)*'Tax Tables'!$B$26))*Calculator!$B$11,Calculator!$B$12)</f>
        <v>25585</v>
      </c>
      <c r="J307" s="11" t="n">
        <f aca="false">MAX(H307,0)-I307</f>
        <v>227415</v>
      </c>
      <c r="K307" s="11" t="n">
        <f aca="false">MIN(IF(A307&gt;0,Calculator!$B$13,0)+E307+Calculator!$B$14,'Tax Tables'!$B$36)</f>
        <v>1000</v>
      </c>
      <c r="L307" s="11" t="n">
        <f aca="false">MAX(A307-K307,0)</f>
        <v>146000</v>
      </c>
      <c r="M307" s="11" t="n">
        <f aca="false">SUMPRODUCT((L307&gt;'Tax Tables'!$A$5:$A$17)*(L307-'Tax Tables'!$A$5:$A$17)*'Tax Tables'!$C$5:$C$17)</f>
        <v>11850</v>
      </c>
      <c r="N307" s="11" t="n">
        <f aca="false">IF(H307&lt;0,-1E+099,A307-E307-M307+J307+(E307+F307)*Calculator!$B$9)</f>
        <v>362565</v>
      </c>
      <c r="O307" s="2"/>
      <c r="P307" s="11" t="n">
        <f aca="false">294*$B$3</f>
        <v>147000</v>
      </c>
      <c r="Q307" s="11" t="n">
        <f aca="false">MIN(P307,'Tax Tables'!$B$31*'Tax Tables'!$B$32)</f>
        <v>96000</v>
      </c>
      <c r="R307" s="11" t="n">
        <f aca="false">P307-Q307</f>
        <v>51000</v>
      </c>
      <c r="S307" s="11" t="n">
        <f aca="false">IF(Calculator!$B$6="Yes",MIN(Q307,'Tax Tables'!$B$31*'Tax Tables'!$B$32),0)</f>
        <v>96000</v>
      </c>
      <c r="T307" s="11" t="n">
        <f aca="false">S307*Calculator!$B$7</f>
        <v>19200</v>
      </c>
      <c r="U307" s="11" t="n">
        <f aca="false">S307*Calculator!$B$8</f>
        <v>16320</v>
      </c>
      <c r="V307" s="11" t="n">
        <f aca="false">IF(Q307&gt;0,'Tax Tables'!$B$32*MIN(MAX(Q307/'Tax Tables'!$B$32*'Tax Tables'!$B$33,'Tax Tables'!$B$34),'Tax Tables'!$B$35),0)</f>
        <v>135</v>
      </c>
      <c r="W307" s="11" t="n">
        <f aca="false">Calculator!$B$5-P307-U307-V307</f>
        <v>236545</v>
      </c>
      <c r="X307" s="11" t="n">
        <f aca="false">'Tax Tables'!$B$22*(MAX(W307,0)-IF(Calculator!$B$10="Yes",MIN(MAX(W307,0),'Tax Tables'!$B$27)*'Tax Tables'!$B$28+MIN(MAX(MAX(W307,0)-'Tax Tables'!$B$27,0),'Tax Tables'!$B$29)*'Tax Tables'!$B$30,MIN(MAX(W307,0),'Tax Tables'!$B$23)*'Tax Tables'!$B$24+MIN(MAX(MAX(W307,0)-'Tax Tables'!$B$23,0),'Tax Tables'!$B$25)*'Tax Tables'!$B$26))*1-MIN('Tax Tables'!$B$22*(MAX(W307,0)-IF(Calculator!$B$10="Yes",MIN(MAX(W307,0),'Tax Tables'!$B$27)*'Tax Tables'!$B$28+MIN(MAX(MAX(W307,0)-'Tax Tables'!$B$27,0),'Tax Tables'!$B$29)*'Tax Tables'!$B$30,MIN(MAX(W307,0),'Tax Tables'!$B$23)*'Tax Tables'!$B$24+MIN(MAX(MAX(W307,0)-'Tax Tables'!$B$23,0),'Tax Tables'!$B$25)*'Tax Tables'!$B$26))*Calculator!$B$11,Calculator!$B$12)</f>
        <v>22787.65</v>
      </c>
      <c r="Y307" s="11" t="n">
        <f aca="false">MAX(W307,0)-X307</f>
        <v>213757.35</v>
      </c>
      <c r="Z307" s="11" t="n">
        <f aca="false">MIN(IF(P307&gt;0,Calculator!$B$13,0)+T307+Calculator!$B$14,'Tax Tables'!$B$36)</f>
        <v>20200</v>
      </c>
      <c r="AA307" s="11" t="n">
        <f aca="false">MAX(P307-Z307,0)</f>
        <v>126800</v>
      </c>
      <c r="AB307" s="11" t="n">
        <f aca="false">SUMPRODUCT((AA307&gt;'Tax Tables'!$A$5:$A$17)*(AA307-'Tax Tables'!$A$5:$A$17)*'Tax Tables'!$C$5:$C$17)</f>
        <v>8970</v>
      </c>
      <c r="AC307" s="11" t="n">
        <f aca="false">IF(W307&lt;0,-1E+099,P307-T307-AB307+Y307+(T307+U307)*Calculator!$B$9)</f>
        <v>368107.35</v>
      </c>
    </row>
    <row r="308" customFormat="false" ht="15" hidden="false" customHeight="false" outlineLevel="0" collapsed="false">
      <c r="A308" s="11" t="n">
        <f aca="false">295*$B$3</f>
        <v>147500</v>
      </c>
      <c r="B308" s="11" t="n">
        <f aca="false">0</f>
        <v>0</v>
      </c>
      <c r="C308" s="11" t="n">
        <f aca="false">A308-B308</f>
        <v>147500</v>
      </c>
      <c r="D308" s="11" t="n">
        <f aca="false">IF(Calculator!$B$6="Yes",MIN(B308,'Tax Tables'!$B$31*'Tax Tables'!$B$32),0)</f>
        <v>0</v>
      </c>
      <c r="E308" s="11" t="n">
        <f aca="false">D308*Calculator!$B$7</f>
        <v>0</v>
      </c>
      <c r="F308" s="11" t="n">
        <f aca="false">D308*Calculator!$B$8</f>
        <v>0</v>
      </c>
      <c r="G308" s="11" t="n">
        <f aca="false">IF(B308&gt;0,'Tax Tables'!$B$32*MIN(MAX(B308/'Tax Tables'!$B$32*'Tax Tables'!$B$33,'Tax Tables'!$B$34),'Tax Tables'!$B$35),0)</f>
        <v>0</v>
      </c>
      <c r="H308" s="11" t="n">
        <f aca="false">Calculator!$B$5-A308-F308-G308</f>
        <v>252500</v>
      </c>
      <c r="I308" s="11" t="n">
        <f aca="false">'Tax Tables'!$B$22*(MAX(H308,0)-IF(Calculator!$B$10="Yes",MIN(MAX(H308,0),'Tax Tables'!$B$27)*'Tax Tables'!$B$28+MIN(MAX(MAX(H308,0)-'Tax Tables'!$B$27,0),'Tax Tables'!$B$29)*'Tax Tables'!$B$30,MIN(MAX(H308,0),'Tax Tables'!$B$23)*'Tax Tables'!$B$24+MIN(MAX(MAX(H308,0)-'Tax Tables'!$B$23,0),'Tax Tables'!$B$25)*'Tax Tables'!$B$26))*1-MIN('Tax Tables'!$B$22*(MAX(H308,0)-IF(Calculator!$B$10="Yes",MIN(MAX(H308,0),'Tax Tables'!$B$27)*'Tax Tables'!$B$28+MIN(MAX(MAX(H308,0)-'Tax Tables'!$B$27,0),'Tax Tables'!$B$29)*'Tax Tables'!$B$30,MIN(MAX(H308,0),'Tax Tables'!$B$23)*'Tax Tables'!$B$24+MIN(MAX(MAX(H308,0)-'Tax Tables'!$B$23,0),'Tax Tables'!$B$25)*'Tax Tables'!$B$26))*Calculator!$B$11,Calculator!$B$12)</f>
        <v>25500</v>
      </c>
      <c r="J308" s="11" t="n">
        <f aca="false">MAX(H308,0)-I308</f>
        <v>227000</v>
      </c>
      <c r="K308" s="11" t="n">
        <f aca="false">MIN(IF(A308&gt;0,Calculator!$B$13,0)+E308+Calculator!$B$14,'Tax Tables'!$B$36)</f>
        <v>1000</v>
      </c>
      <c r="L308" s="11" t="n">
        <f aca="false">MAX(A308-K308,0)</f>
        <v>146500</v>
      </c>
      <c r="M308" s="11" t="n">
        <f aca="false">SUMPRODUCT((L308&gt;'Tax Tables'!$A$5:$A$17)*(L308-'Tax Tables'!$A$5:$A$17)*'Tax Tables'!$C$5:$C$17)</f>
        <v>11925</v>
      </c>
      <c r="N308" s="11" t="n">
        <f aca="false">IF(H308&lt;0,-1E+099,A308-E308-M308+J308+(E308+F308)*Calculator!$B$9)</f>
        <v>362575</v>
      </c>
      <c r="O308" s="2"/>
      <c r="P308" s="11" t="n">
        <f aca="false">295*$B$3</f>
        <v>147500</v>
      </c>
      <c r="Q308" s="11" t="n">
        <f aca="false">MIN(P308,'Tax Tables'!$B$31*'Tax Tables'!$B$32)</f>
        <v>96000</v>
      </c>
      <c r="R308" s="11" t="n">
        <f aca="false">P308-Q308</f>
        <v>51500</v>
      </c>
      <c r="S308" s="11" t="n">
        <f aca="false">IF(Calculator!$B$6="Yes",MIN(Q308,'Tax Tables'!$B$31*'Tax Tables'!$B$32),0)</f>
        <v>96000</v>
      </c>
      <c r="T308" s="11" t="n">
        <f aca="false">S308*Calculator!$B$7</f>
        <v>19200</v>
      </c>
      <c r="U308" s="11" t="n">
        <f aca="false">S308*Calculator!$B$8</f>
        <v>16320</v>
      </c>
      <c r="V308" s="11" t="n">
        <f aca="false">IF(Q308&gt;0,'Tax Tables'!$B$32*MIN(MAX(Q308/'Tax Tables'!$B$32*'Tax Tables'!$B$33,'Tax Tables'!$B$34),'Tax Tables'!$B$35),0)</f>
        <v>135</v>
      </c>
      <c r="W308" s="11" t="n">
        <f aca="false">Calculator!$B$5-P308-U308-V308</f>
        <v>236045</v>
      </c>
      <c r="X308" s="11" t="n">
        <f aca="false">'Tax Tables'!$B$22*(MAX(W308,0)-IF(Calculator!$B$10="Yes",MIN(MAX(W308,0),'Tax Tables'!$B$27)*'Tax Tables'!$B$28+MIN(MAX(MAX(W308,0)-'Tax Tables'!$B$27,0),'Tax Tables'!$B$29)*'Tax Tables'!$B$30,MIN(MAX(W308,0),'Tax Tables'!$B$23)*'Tax Tables'!$B$24+MIN(MAX(MAX(W308,0)-'Tax Tables'!$B$23,0),'Tax Tables'!$B$25)*'Tax Tables'!$B$26))*1-MIN('Tax Tables'!$B$22*(MAX(W308,0)-IF(Calculator!$B$10="Yes",MIN(MAX(W308,0),'Tax Tables'!$B$27)*'Tax Tables'!$B$28+MIN(MAX(MAX(W308,0)-'Tax Tables'!$B$27,0),'Tax Tables'!$B$29)*'Tax Tables'!$B$30,MIN(MAX(W308,0),'Tax Tables'!$B$23)*'Tax Tables'!$B$24+MIN(MAX(MAX(W308,0)-'Tax Tables'!$B$23,0),'Tax Tables'!$B$25)*'Tax Tables'!$B$26))*Calculator!$B$11,Calculator!$B$12)</f>
        <v>22702.65</v>
      </c>
      <c r="Y308" s="11" t="n">
        <f aca="false">MAX(W308,0)-X308</f>
        <v>213342.35</v>
      </c>
      <c r="Z308" s="11" t="n">
        <f aca="false">MIN(IF(P308&gt;0,Calculator!$B$13,0)+T308+Calculator!$B$14,'Tax Tables'!$B$36)</f>
        <v>20200</v>
      </c>
      <c r="AA308" s="11" t="n">
        <f aca="false">MAX(P308-Z308,0)</f>
        <v>127300</v>
      </c>
      <c r="AB308" s="11" t="n">
        <f aca="false">SUMPRODUCT((AA308&gt;'Tax Tables'!$A$5:$A$17)*(AA308-'Tax Tables'!$A$5:$A$17)*'Tax Tables'!$C$5:$C$17)</f>
        <v>9045</v>
      </c>
      <c r="AC308" s="11" t="n">
        <f aca="false">IF(W308&lt;0,-1E+099,P308-T308-AB308+Y308+(T308+U308)*Calculator!$B$9)</f>
        <v>368117.35</v>
      </c>
    </row>
    <row r="309" customFormat="false" ht="15" hidden="false" customHeight="false" outlineLevel="0" collapsed="false">
      <c r="A309" s="11" t="n">
        <f aca="false">296*$B$3</f>
        <v>148000</v>
      </c>
      <c r="B309" s="11" t="n">
        <f aca="false">0</f>
        <v>0</v>
      </c>
      <c r="C309" s="11" t="n">
        <f aca="false">A309-B309</f>
        <v>148000</v>
      </c>
      <c r="D309" s="11" t="n">
        <f aca="false">IF(Calculator!$B$6="Yes",MIN(B309,'Tax Tables'!$B$31*'Tax Tables'!$B$32),0)</f>
        <v>0</v>
      </c>
      <c r="E309" s="11" t="n">
        <f aca="false">D309*Calculator!$B$7</f>
        <v>0</v>
      </c>
      <c r="F309" s="11" t="n">
        <f aca="false">D309*Calculator!$B$8</f>
        <v>0</v>
      </c>
      <c r="G309" s="11" t="n">
        <f aca="false">IF(B309&gt;0,'Tax Tables'!$B$32*MIN(MAX(B309/'Tax Tables'!$B$32*'Tax Tables'!$B$33,'Tax Tables'!$B$34),'Tax Tables'!$B$35),0)</f>
        <v>0</v>
      </c>
      <c r="H309" s="11" t="n">
        <f aca="false">Calculator!$B$5-A309-F309-G309</f>
        <v>252000</v>
      </c>
      <c r="I309" s="11" t="n">
        <f aca="false">'Tax Tables'!$B$22*(MAX(H309,0)-IF(Calculator!$B$10="Yes",MIN(MAX(H309,0),'Tax Tables'!$B$27)*'Tax Tables'!$B$28+MIN(MAX(MAX(H309,0)-'Tax Tables'!$B$27,0),'Tax Tables'!$B$29)*'Tax Tables'!$B$30,MIN(MAX(H309,0),'Tax Tables'!$B$23)*'Tax Tables'!$B$24+MIN(MAX(MAX(H309,0)-'Tax Tables'!$B$23,0),'Tax Tables'!$B$25)*'Tax Tables'!$B$26))*1-MIN('Tax Tables'!$B$22*(MAX(H309,0)-IF(Calculator!$B$10="Yes",MIN(MAX(H309,0),'Tax Tables'!$B$27)*'Tax Tables'!$B$28+MIN(MAX(MAX(H309,0)-'Tax Tables'!$B$27,0),'Tax Tables'!$B$29)*'Tax Tables'!$B$30,MIN(MAX(H309,0),'Tax Tables'!$B$23)*'Tax Tables'!$B$24+MIN(MAX(MAX(H309,0)-'Tax Tables'!$B$23,0),'Tax Tables'!$B$25)*'Tax Tables'!$B$26))*Calculator!$B$11,Calculator!$B$12)</f>
        <v>25415</v>
      </c>
      <c r="J309" s="11" t="n">
        <f aca="false">MAX(H309,0)-I309</f>
        <v>226585</v>
      </c>
      <c r="K309" s="11" t="n">
        <f aca="false">MIN(IF(A309&gt;0,Calculator!$B$13,0)+E309+Calculator!$B$14,'Tax Tables'!$B$36)</f>
        <v>1000</v>
      </c>
      <c r="L309" s="11" t="n">
        <f aca="false">MAX(A309-K309,0)</f>
        <v>147000</v>
      </c>
      <c r="M309" s="11" t="n">
        <f aca="false">SUMPRODUCT((L309&gt;'Tax Tables'!$A$5:$A$17)*(L309-'Tax Tables'!$A$5:$A$17)*'Tax Tables'!$C$5:$C$17)</f>
        <v>12000</v>
      </c>
      <c r="N309" s="11" t="n">
        <f aca="false">IF(H309&lt;0,-1E+099,A309-E309-M309+J309+(E309+F309)*Calculator!$B$9)</f>
        <v>362585</v>
      </c>
      <c r="O309" s="2"/>
      <c r="P309" s="11" t="n">
        <f aca="false">296*$B$3</f>
        <v>148000</v>
      </c>
      <c r="Q309" s="11" t="n">
        <f aca="false">MIN(P309,'Tax Tables'!$B$31*'Tax Tables'!$B$32)</f>
        <v>96000</v>
      </c>
      <c r="R309" s="11" t="n">
        <f aca="false">P309-Q309</f>
        <v>52000</v>
      </c>
      <c r="S309" s="11" t="n">
        <f aca="false">IF(Calculator!$B$6="Yes",MIN(Q309,'Tax Tables'!$B$31*'Tax Tables'!$B$32),0)</f>
        <v>96000</v>
      </c>
      <c r="T309" s="11" t="n">
        <f aca="false">S309*Calculator!$B$7</f>
        <v>19200</v>
      </c>
      <c r="U309" s="11" t="n">
        <f aca="false">S309*Calculator!$B$8</f>
        <v>16320</v>
      </c>
      <c r="V309" s="11" t="n">
        <f aca="false">IF(Q309&gt;0,'Tax Tables'!$B$32*MIN(MAX(Q309/'Tax Tables'!$B$32*'Tax Tables'!$B$33,'Tax Tables'!$B$34),'Tax Tables'!$B$35),0)</f>
        <v>135</v>
      </c>
      <c r="W309" s="11" t="n">
        <f aca="false">Calculator!$B$5-P309-U309-V309</f>
        <v>235545</v>
      </c>
      <c r="X309" s="11" t="n">
        <f aca="false">'Tax Tables'!$B$22*(MAX(W309,0)-IF(Calculator!$B$10="Yes",MIN(MAX(W309,0),'Tax Tables'!$B$27)*'Tax Tables'!$B$28+MIN(MAX(MAX(W309,0)-'Tax Tables'!$B$27,0),'Tax Tables'!$B$29)*'Tax Tables'!$B$30,MIN(MAX(W309,0),'Tax Tables'!$B$23)*'Tax Tables'!$B$24+MIN(MAX(MAX(W309,0)-'Tax Tables'!$B$23,0),'Tax Tables'!$B$25)*'Tax Tables'!$B$26))*1-MIN('Tax Tables'!$B$22*(MAX(W309,0)-IF(Calculator!$B$10="Yes",MIN(MAX(W309,0),'Tax Tables'!$B$27)*'Tax Tables'!$B$28+MIN(MAX(MAX(W309,0)-'Tax Tables'!$B$27,0),'Tax Tables'!$B$29)*'Tax Tables'!$B$30,MIN(MAX(W309,0),'Tax Tables'!$B$23)*'Tax Tables'!$B$24+MIN(MAX(MAX(W309,0)-'Tax Tables'!$B$23,0),'Tax Tables'!$B$25)*'Tax Tables'!$B$26))*Calculator!$B$11,Calculator!$B$12)</f>
        <v>22617.65</v>
      </c>
      <c r="Y309" s="11" t="n">
        <f aca="false">MAX(W309,0)-X309</f>
        <v>212927.35</v>
      </c>
      <c r="Z309" s="11" t="n">
        <f aca="false">MIN(IF(P309&gt;0,Calculator!$B$13,0)+T309+Calculator!$B$14,'Tax Tables'!$B$36)</f>
        <v>20200</v>
      </c>
      <c r="AA309" s="11" t="n">
        <f aca="false">MAX(P309-Z309,0)</f>
        <v>127800</v>
      </c>
      <c r="AB309" s="11" t="n">
        <f aca="false">SUMPRODUCT((AA309&gt;'Tax Tables'!$A$5:$A$17)*(AA309-'Tax Tables'!$A$5:$A$17)*'Tax Tables'!$C$5:$C$17)</f>
        <v>9120</v>
      </c>
      <c r="AC309" s="11" t="n">
        <f aca="false">IF(W309&lt;0,-1E+099,P309-T309-AB309+Y309+(T309+U309)*Calculator!$B$9)</f>
        <v>368127.35</v>
      </c>
    </row>
    <row r="310" customFormat="false" ht="15" hidden="false" customHeight="false" outlineLevel="0" collapsed="false">
      <c r="A310" s="11" t="n">
        <f aca="false">297*$B$3</f>
        <v>148500</v>
      </c>
      <c r="B310" s="11" t="n">
        <f aca="false">0</f>
        <v>0</v>
      </c>
      <c r="C310" s="11" t="n">
        <f aca="false">A310-B310</f>
        <v>148500</v>
      </c>
      <c r="D310" s="11" t="n">
        <f aca="false">IF(Calculator!$B$6="Yes",MIN(B310,'Tax Tables'!$B$31*'Tax Tables'!$B$32),0)</f>
        <v>0</v>
      </c>
      <c r="E310" s="11" t="n">
        <f aca="false">D310*Calculator!$B$7</f>
        <v>0</v>
      </c>
      <c r="F310" s="11" t="n">
        <f aca="false">D310*Calculator!$B$8</f>
        <v>0</v>
      </c>
      <c r="G310" s="11" t="n">
        <f aca="false">IF(B310&gt;0,'Tax Tables'!$B$32*MIN(MAX(B310/'Tax Tables'!$B$32*'Tax Tables'!$B$33,'Tax Tables'!$B$34),'Tax Tables'!$B$35),0)</f>
        <v>0</v>
      </c>
      <c r="H310" s="11" t="n">
        <f aca="false">Calculator!$B$5-A310-F310-G310</f>
        <v>251500</v>
      </c>
      <c r="I310" s="11" t="n">
        <f aca="false">'Tax Tables'!$B$22*(MAX(H310,0)-IF(Calculator!$B$10="Yes",MIN(MAX(H310,0),'Tax Tables'!$B$27)*'Tax Tables'!$B$28+MIN(MAX(MAX(H310,0)-'Tax Tables'!$B$27,0),'Tax Tables'!$B$29)*'Tax Tables'!$B$30,MIN(MAX(H310,0),'Tax Tables'!$B$23)*'Tax Tables'!$B$24+MIN(MAX(MAX(H310,0)-'Tax Tables'!$B$23,0),'Tax Tables'!$B$25)*'Tax Tables'!$B$26))*1-MIN('Tax Tables'!$B$22*(MAX(H310,0)-IF(Calculator!$B$10="Yes",MIN(MAX(H310,0),'Tax Tables'!$B$27)*'Tax Tables'!$B$28+MIN(MAX(MAX(H310,0)-'Tax Tables'!$B$27,0),'Tax Tables'!$B$29)*'Tax Tables'!$B$30,MIN(MAX(H310,0),'Tax Tables'!$B$23)*'Tax Tables'!$B$24+MIN(MAX(MAX(H310,0)-'Tax Tables'!$B$23,0),'Tax Tables'!$B$25)*'Tax Tables'!$B$26))*Calculator!$B$11,Calculator!$B$12)</f>
        <v>25330</v>
      </c>
      <c r="J310" s="11" t="n">
        <f aca="false">MAX(H310,0)-I310</f>
        <v>226170</v>
      </c>
      <c r="K310" s="11" t="n">
        <f aca="false">MIN(IF(A310&gt;0,Calculator!$B$13,0)+E310+Calculator!$B$14,'Tax Tables'!$B$36)</f>
        <v>1000</v>
      </c>
      <c r="L310" s="11" t="n">
        <f aca="false">MAX(A310-K310,0)</f>
        <v>147500</v>
      </c>
      <c r="M310" s="11" t="n">
        <f aca="false">SUMPRODUCT((L310&gt;'Tax Tables'!$A$5:$A$17)*(L310-'Tax Tables'!$A$5:$A$17)*'Tax Tables'!$C$5:$C$17)</f>
        <v>12075</v>
      </c>
      <c r="N310" s="11" t="n">
        <f aca="false">IF(H310&lt;0,-1E+099,A310-E310-M310+J310+(E310+F310)*Calculator!$B$9)</f>
        <v>362595</v>
      </c>
      <c r="O310" s="2"/>
      <c r="P310" s="11" t="n">
        <f aca="false">297*$B$3</f>
        <v>148500</v>
      </c>
      <c r="Q310" s="11" t="n">
        <f aca="false">MIN(P310,'Tax Tables'!$B$31*'Tax Tables'!$B$32)</f>
        <v>96000</v>
      </c>
      <c r="R310" s="11" t="n">
        <f aca="false">P310-Q310</f>
        <v>52500</v>
      </c>
      <c r="S310" s="11" t="n">
        <f aca="false">IF(Calculator!$B$6="Yes",MIN(Q310,'Tax Tables'!$B$31*'Tax Tables'!$B$32),0)</f>
        <v>96000</v>
      </c>
      <c r="T310" s="11" t="n">
        <f aca="false">S310*Calculator!$B$7</f>
        <v>19200</v>
      </c>
      <c r="U310" s="11" t="n">
        <f aca="false">S310*Calculator!$B$8</f>
        <v>16320</v>
      </c>
      <c r="V310" s="11" t="n">
        <f aca="false">IF(Q310&gt;0,'Tax Tables'!$B$32*MIN(MAX(Q310/'Tax Tables'!$B$32*'Tax Tables'!$B$33,'Tax Tables'!$B$34),'Tax Tables'!$B$35),0)</f>
        <v>135</v>
      </c>
      <c r="W310" s="11" t="n">
        <f aca="false">Calculator!$B$5-P310-U310-V310</f>
        <v>235045</v>
      </c>
      <c r="X310" s="11" t="n">
        <f aca="false">'Tax Tables'!$B$22*(MAX(W310,0)-IF(Calculator!$B$10="Yes",MIN(MAX(W310,0),'Tax Tables'!$B$27)*'Tax Tables'!$B$28+MIN(MAX(MAX(W310,0)-'Tax Tables'!$B$27,0),'Tax Tables'!$B$29)*'Tax Tables'!$B$30,MIN(MAX(W310,0),'Tax Tables'!$B$23)*'Tax Tables'!$B$24+MIN(MAX(MAX(W310,0)-'Tax Tables'!$B$23,0),'Tax Tables'!$B$25)*'Tax Tables'!$B$26))*1-MIN('Tax Tables'!$B$22*(MAX(W310,0)-IF(Calculator!$B$10="Yes",MIN(MAX(W310,0),'Tax Tables'!$B$27)*'Tax Tables'!$B$28+MIN(MAX(MAX(W310,0)-'Tax Tables'!$B$27,0),'Tax Tables'!$B$29)*'Tax Tables'!$B$30,MIN(MAX(W310,0),'Tax Tables'!$B$23)*'Tax Tables'!$B$24+MIN(MAX(MAX(W310,0)-'Tax Tables'!$B$23,0),'Tax Tables'!$B$25)*'Tax Tables'!$B$26))*Calculator!$B$11,Calculator!$B$12)</f>
        <v>22532.65</v>
      </c>
      <c r="Y310" s="11" t="n">
        <f aca="false">MAX(W310,0)-X310</f>
        <v>212512.35</v>
      </c>
      <c r="Z310" s="11" t="n">
        <f aca="false">MIN(IF(P310&gt;0,Calculator!$B$13,0)+T310+Calculator!$B$14,'Tax Tables'!$B$36)</f>
        <v>20200</v>
      </c>
      <c r="AA310" s="11" t="n">
        <f aca="false">MAX(P310-Z310,0)</f>
        <v>128300</v>
      </c>
      <c r="AB310" s="11" t="n">
        <f aca="false">SUMPRODUCT((AA310&gt;'Tax Tables'!$A$5:$A$17)*(AA310-'Tax Tables'!$A$5:$A$17)*'Tax Tables'!$C$5:$C$17)</f>
        <v>9195</v>
      </c>
      <c r="AC310" s="11" t="n">
        <f aca="false">IF(W310&lt;0,-1E+099,P310-T310-AB310+Y310+(T310+U310)*Calculator!$B$9)</f>
        <v>368137.35</v>
      </c>
    </row>
    <row r="311" customFormat="false" ht="15" hidden="false" customHeight="false" outlineLevel="0" collapsed="false">
      <c r="A311" s="11" t="n">
        <f aca="false">298*$B$3</f>
        <v>149000</v>
      </c>
      <c r="B311" s="11" t="n">
        <f aca="false">0</f>
        <v>0</v>
      </c>
      <c r="C311" s="11" t="n">
        <f aca="false">A311-B311</f>
        <v>149000</v>
      </c>
      <c r="D311" s="11" t="n">
        <f aca="false">IF(Calculator!$B$6="Yes",MIN(B311,'Tax Tables'!$B$31*'Tax Tables'!$B$32),0)</f>
        <v>0</v>
      </c>
      <c r="E311" s="11" t="n">
        <f aca="false">D311*Calculator!$B$7</f>
        <v>0</v>
      </c>
      <c r="F311" s="11" t="n">
        <f aca="false">D311*Calculator!$B$8</f>
        <v>0</v>
      </c>
      <c r="G311" s="11" t="n">
        <f aca="false">IF(B311&gt;0,'Tax Tables'!$B$32*MIN(MAX(B311/'Tax Tables'!$B$32*'Tax Tables'!$B$33,'Tax Tables'!$B$34),'Tax Tables'!$B$35),0)</f>
        <v>0</v>
      </c>
      <c r="H311" s="11" t="n">
        <f aca="false">Calculator!$B$5-A311-F311-G311</f>
        <v>251000</v>
      </c>
      <c r="I311" s="11" t="n">
        <f aca="false">'Tax Tables'!$B$22*(MAX(H311,0)-IF(Calculator!$B$10="Yes",MIN(MAX(H311,0),'Tax Tables'!$B$27)*'Tax Tables'!$B$28+MIN(MAX(MAX(H311,0)-'Tax Tables'!$B$27,0),'Tax Tables'!$B$29)*'Tax Tables'!$B$30,MIN(MAX(H311,0),'Tax Tables'!$B$23)*'Tax Tables'!$B$24+MIN(MAX(MAX(H311,0)-'Tax Tables'!$B$23,0),'Tax Tables'!$B$25)*'Tax Tables'!$B$26))*1-MIN('Tax Tables'!$B$22*(MAX(H311,0)-IF(Calculator!$B$10="Yes",MIN(MAX(H311,0),'Tax Tables'!$B$27)*'Tax Tables'!$B$28+MIN(MAX(MAX(H311,0)-'Tax Tables'!$B$27,0),'Tax Tables'!$B$29)*'Tax Tables'!$B$30,MIN(MAX(H311,0),'Tax Tables'!$B$23)*'Tax Tables'!$B$24+MIN(MAX(MAX(H311,0)-'Tax Tables'!$B$23,0),'Tax Tables'!$B$25)*'Tax Tables'!$B$26))*Calculator!$B$11,Calculator!$B$12)</f>
        <v>25245</v>
      </c>
      <c r="J311" s="11" t="n">
        <f aca="false">MAX(H311,0)-I311</f>
        <v>225755</v>
      </c>
      <c r="K311" s="11" t="n">
        <f aca="false">MIN(IF(A311&gt;0,Calculator!$B$13,0)+E311+Calculator!$B$14,'Tax Tables'!$B$36)</f>
        <v>1000</v>
      </c>
      <c r="L311" s="11" t="n">
        <f aca="false">MAX(A311-K311,0)</f>
        <v>148000</v>
      </c>
      <c r="M311" s="11" t="n">
        <f aca="false">SUMPRODUCT((L311&gt;'Tax Tables'!$A$5:$A$17)*(L311-'Tax Tables'!$A$5:$A$17)*'Tax Tables'!$C$5:$C$17)</f>
        <v>12150</v>
      </c>
      <c r="N311" s="11" t="n">
        <f aca="false">IF(H311&lt;0,-1E+099,A311-E311-M311+J311+(E311+F311)*Calculator!$B$9)</f>
        <v>362605</v>
      </c>
      <c r="O311" s="2"/>
      <c r="P311" s="11" t="n">
        <f aca="false">298*$B$3</f>
        <v>149000</v>
      </c>
      <c r="Q311" s="11" t="n">
        <f aca="false">MIN(P311,'Tax Tables'!$B$31*'Tax Tables'!$B$32)</f>
        <v>96000</v>
      </c>
      <c r="R311" s="11" t="n">
        <f aca="false">P311-Q311</f>
        <v>53000</v>
      </c>
      <c r="S311" s="11" t="n">
        <f aca="false">IF(Calculator!$B$6="Yes",MIN(Q311,'Tax Tables'!$B$31*'Tax Tables'!$B$32),0)</f>
        <v>96000</v>
      </c>
      <c r="T311" s="11" t="n">
        <f aca="false">S311*Calculator!$B$7</f>
        <v>19200</v>
      </c>
      <c r="U311" s="11" t="n">
        <f aca="false">S311*Calculator!$B$8</f>
        <v>16320</v>
      </c>
      <c r="V311" s="11" t="n">
        <f aca="false">IF(Q311&gt;0,'Tax Tables'!$B$32*MIN(MAX(Q311/'Tax Tables'!$B$32*'Tax Tables'!$B$33,'Tax Tables'!$B$34),'Tax Tables'!$B$35),0)</f>
        <v>135</v>
      </c>
      <c r="W311" s="11" t="n">
        <f aca="false">Calculator!$B$5-P311-U311-V311</f>
        <v>234545</v>
      </c>
      <c r="X311" s="11" t="n">
        <f aca="false">'Tax Tables'!$B$22*(MAX(W311,0)-IF(Calculator!$B$10="Yes",MIN(MAX(W311,0),'Tax Tables'!$B$27)*'Tax Tables'!$B$28+MIN(MAX(MAX(W311,0)-'Tax Tables'!$B$27,0),'Tax Tables'!$B$29)*'Tax Tables'!$B$30,MIN(MAX(W311,0),'Tax Tables'!$B$23)*'Tax Tables'!$B$24+MIN(MAX(MAX(W311,0)-'Tax Tables'!$B$23,0),'Tax Tables'!$B$25)*'Tax Tables'!$B$26))*1-MIN('Tax Tables'!$B$22*(MAX(W311,0)-IF(Calculator!$B$10="Yes",MIN(MAX(W311,0),'Tax Tables'!$B$27)*'Tax Tables'!$B$28+MIN(MAX(MAX(W311,0)-'Tax Tables'!$B$27,0),'Tax Tables'!$B$29)*'Tax Tables'!$B$30,MIN(MAX(W311,0),'Tax Tables'!$B$23)*'Tax Tables'!$B$24+MIN(MAX(MAX(W311,0)-'Tax Tables'!$B$23,0),'Tax Tables'!$B$25)*'Tax Tables'!$B$26))*Calculator!$B$11,Calculator!$B$12)</f>
        <v>22447.65</v>
      </c>
      <c r="Y311" s="11" t="n">
        <f aca="false">MAX(W311,0)-X311</f>
        <v>212097.35</v>
      </c>
      <c r="Z311" s="11" t="n">
        <f aca="false">MIN(IF(P311&gt;0,Calculator!$B$13,0)+T311+Calculator!$B$14,'Tax Tables'!$B$36)</f>
        <v>20200</v>
      </c>
      <c r="AA311" s="11" t="n">
        <f aca="false">MAX(P311-Z311,0)</f>
        <v>128800</v>
      </c>
      <c r="AB311" s="11" t="n">
        <f aca="false">SUMPRODUCT((AA311&gt;'Tax Tables'!$A$5:$A$17)*(AA311-'Tax Tables'!$A$5:$A$17)*'Tax Tables'!$C$5:$C$17)</f>
        <v>9270</v>
      </c>
      <c r="AC311" s="11" t="n">
        <f aca="false">IF(W311&lt;0,-1E+099,P311-T311-AB311+Y311+(T311+U311)*Calculator!$B$9)</f>
        <v>368147.35</v>
      </c>
    </row>
    <row r="312" customFormat="false" ht="15" hidden="false" customHeight="false" outlineLevel="0" collapsed="false">
      <c r="A312" s="11" t="n">
        <f aca="false">299*$B$3</f>
        <v>149500</v>
      </c>
      <c r="B312" s="11" t="n">
        <f aca="false">0</f>
        <v>0</v>
      </c>
      <c r="C312" s="11" t="n">
        <f aca="false">A312-B312</f>
        <v>149500</v>
      </c>
      <c r="D312" s="11" t="n">
        <f aca="false">IF(Calculator!$B$6="Yes",MIN(B312,'Tax Tables'!$B$31*'Tax Tables'!$B$32),0)</f>
        <v>0</v>
      </c>
      <c r="E312" s="11" t="n">
        <f aca="false">D312*Calculator!$B$7</f>
        <v>0</v>
      </c>
      <c r="F312" s="11" t="n">
        <f aca="false">D312*Calculator!$B$8</f>
        <v>0</v>
      </c>
      <c r="G312" s="11" t="n">
        <f aca="false">IF(B312&gt;0,'Tax Tables'!$B$32*MIN(MAX(B312/'Tax Tables'!$B$32*'Tax Tables'!$B$33,'Tax Tables'!$B$34),'Tax Tables'!$B$35),0)</f>
        <v>0</v>
      </c>
      <c r="H312" s="11" t="n">
        <f aca="false">Calculator!$B$5-A312-F312-G312</f>
        <v>250500</v>
      </c>
      <c r="I312" s="11" t="n">
        <f aca="false">'Tax Tables'!$B$22*(MAX(H312,0)-IF(Calculator!$B$10="Yes",MIN(MAX(H312,0),'Tax Tables'!$B$27)*'Tax Tables'!$B$28+MIN(MAX(MAX(H312,0)-'Tax Tables'!$B$27,0),'Tax Tables'!$B$29)*'Tax Tables'!$B$30,MIN(MAX(H312,0),'Tax Tables'!$B$23)*'Tax Tables'!$B$24+MIN(MAX(MAX(H312,0)-'Tax Tables'!$B$23,0),'Tax Tables'!$B$25)*'Tax Tables'!$B$26))*1-MIN('Tax Tables'!$B$22*(MAX(H312,0)-IF(Calculator!$B$10="Yes",MIN(MAX(H312,0),'Tax Tables'!$B$27)*'Tax Tables'!$B$28+MIN(MAX(MAX(H312,0)-'Tax Tables'!$B$27,0),'Tax Tables'!$B$29)*'Tax Tables'!$B$30,MIN(MAX(H312,0),'Tax Tables'!$B$23)*'Tax Tables'!$B$24+MIN(MAX(MAX(H312,0)-'Tax Tables'!$B$23,0),'Tax Tables'!$B$25)*'Tax Tables'!$B$26))*Calculator!$B$11,Calculator!$B$12)</f>
        <v>25160</v>
      </c>
      <c r="J312" s="11" t="n">
        <f aca="false">MAX(H312,0)-I312</f>
        <v>225340</v>
      </c>
      <c r="K312" s="11" t="n">
        <f aca="false">MIN(IF(A312&gt;0,Calculator!$B$13,0)+E312+Calculator!$B$14,'Tax Tables'!$B$36)</f>
        <v>1000</v>
      </c>
      <c r="L312" s="11" t="n">
        <f aca="false">MAX(A312-K312,0)</f>
        <v>148500</v>
      </c>
      <c r="M312" s="11" t="n">
        <f aca="false">SUMPRODUCT((L312&gt;'Tax Tables'!$A$5:$A$17)*(L312-'Tax Tables'!$A$5:$A$17)*'Tax Tables'!$C$5:$C$17)</f>
        <v>12225</v>
      </c>
      <c r="N312" s="11" t="n">
        <f aca="false">IF(H312&lt;0,-1E+099,A312-E312-M312+J312+(E312+F312)*Calculator!$B$9)</f>
        <v>362615</v>
      </c>
      <c r="O312" s="2"/>
      <c r="P312" s="11" t="n">
        <f aca="false">299*$B$3</f>
        <v>149500</v>
      </c>
      <c r="Q312" s="11" t="n">
        <f aca="false">MIN(P312,'Tax Tables'!$B$31*'Tax Tables'!$B$32)</f>
        <v>96000</v>
      </c>
      <c r="R312" s="11" t="n">
        <f aca="false">P312-Q312</f>
        <v>53500</v>
      </c>
      <c r="S312" s="11" t="n">
        <f aca="false">IF(Calculator!$B$6="Yes",MIN(Q312,'Tax Tables'!$B$31*'Tax Tables'!$B$32),0)</f>
        <v>96000</v>
      </c>
      <c r="T312" s="11" t="n">
        <f aca="false">S312*Calculator!$B$7</f>
        <v>19200</v>
      </c>
      <c r="U312" s="11" t="n">
        <f aca="false">S312*Calculator!$B$8</f>
        <v>16320</v>
      </c>
      <c r="V312" s="11" t="n">
        <f aca="false">IF(Q312&gt;0,'Tax Tables'!$B$32*MIN(MAX(Q312/'Tax Tables'!$B$32*'Tax Tables'!$B$33,'Tax Tables'!$B$34),'Tax Tables'!$B$35),0)</f>
        <v>135</v>
      </c>
      <c r="W312" s="11" t="n">
        <f aca="false">Calculator!$B$5-P312-U312-V312</f>
        <v>234045</v>
      </c>
      <c r="X312" s="11" t="n">
        <f aca="false">'Tax Tables'!$B$22*(MAX(W312,0)-IF(Calculator!$B$10="Yes",MIN(MAX(W312,0),'Tax Tables'!$B$27)*'Tax Tables'!$B$28+MIN(MAX(MAX(W312,0)-'Tax Tables'!$B$27,0),'Tax Tables'!$B$29)*'Tax Tables'!$B$30,MIN(MAX(W312,0),'Tax Tables'!$B$23)*'Tax Tables'!$B$24+MIN(MAX(MAX(W312,0)-'Tax Tables'!$B$23,0),'Tax Tables'!$B$25)*'Tax Tables'!$B$26))*1-MIN('Tax Tables'!$B$22*(MAX(W312,0)-IF(Calculator!$B$10="Yes",MIN(MAX(W312,0),'Tax Tables'!$B$27)*'Tax Tables'!$B$28+MIN(MAX(MAX(W312,0)-'Tax Tables'!$B$27,0),'Tax Tables'!$B$29)*'Tax Tables'!$B$30,MIN(MAX(W312,0),'Tax Tables'!$B$23)*'Tax Tables'!$B$24+MIN(MAX(MAX(W312,0)-'Tax Tables'!$B$23,0),'Tax Tables'!$B$25)*'Tax Tables'!$B$26))*Calculator!$B$11,Calculator!$B$12)</f>
        <v>22362.65</v>
      </c>
      <c r="Y312" s="11" t="n">
        <f aca="false">MAX(W312,0)-X312</f>
        <v>211682.35</v>
      </c>
      <c r="Z312" s="11" t="n">
        <f aca="false">MIN(IF(P312&gt;0,Calculator!$B$13,0)+T312+Calculator!$B$14,'Tax Tables'!$B$36)</f>
        <v>20200</v>
      </c>
      <c r="AA312" s="11" t="n">
        <f aca="false">MAX(P312-Z312,0)</f>
        <v>129300</v>
      </c>
      <c r="AB312" s="11" t="n">
        <f aca="false">SUMPRODUCT((AA312&gt;'Tax Tables'!$A$5:$A$17)*(AA312-'Tax Tables'!$A$5:$A$17)*'Tax Tables'!$C$5:$C$17)</f>
        <v>9345</v>
      </c>
      <c r="AC312" s="11" t="n">
        <f aca="false">IF(W312&lt;0,-1E+099,P312-T312-AB312+Y312+(T312+U312)*Calculator!$B$9)</f>
        <v>368157.35</v>
      </c>
    </row>
    <row r="313" customFormat="false" ht="15" hidden="false" customHeight="false" outlineLevel="0" collapsed="false">
      <c r="A313" s="11" t="n">
        <f aca="false">300*$B$3</f>
        <v>150000</v>
      </c>
      <c r="B313" s="11" t="n">
        <f aca="false">0</f>
        <v>0</v>
      </c>
      <c r="C313" s="11" t="n">
        <f aca="false">A313-B313</f>
        <v>150000</v>
      </c>
      <c r="D313" s="11" t="n">
        <f aca="false">IF(Calculator!$B$6="Yes",MIN(B313,'Tax Tables'!$B$31*'Tax Tables'!$B$32),0)</f>
        <v>0</v>
      </c>
      <c r="E313" s="11" t="n">
        <f aca="false">D313*Calculator!$B$7</f>
        <v>0</v>
      </c>
      <c r="F313" s="11" t="n">
        <f aca="false">D313*Calculator!$B$8</f>
        <v>0</v>
      </c>
      <c r="G313" s="11" t="n">
        <f aca="false">IF(B313&gt;0,'Tax Tables'!$B$32*MIN(MAX(B313/'Tax Tables'!$B$32*'Tax Tables'!$B$33,'Tax Tables'!$B$34),'Tax Tables'!$B$35),0)</f>
        <v>0</v>
      </c>
      <c r="H313" s="11" t="n">
        <f aca="false">Calculator!$B$5-A313-F313-G313</f>
        <v>250000</v>
      </c>
      <c r="I313" s="11" t="n">
        <f aca="false">'Tax Tables'!$B$22*(MAX(H313,0)-IF(Calculator!$B$10="Yes",MIN(MAX(H313,0),'Tax Tables'!$B$27)*'Tax Tables'!$B$28+MIN(MAX(MAX(H313,0)-'Tax Tables'!$B$27,0),'Tax Tables'!$B$29)*'Tax Tables'!$B$30,MIN(MAX(H313,0),'Tax Tables'!$B$23)*'Tax Tables'!$B$24+MIN(MAX(MAX(H313,0)-'Tax Tables'!$B$23,0),'Tax Tables'!$B$25)*'Tax Tables'!$B$26))*1-MIN('Tax Tables'!$B$22*(MAX(H313,0)-IF(Calculator!$B$10="Yes",MIN(MAX(H313,0),'Tax Tables'!$B$27)*'Tax Tables'!$B$28+MIN(MAX(MAX(H313,0)-'Tax Tables'!$B$27,0),'Tax Tables'!$B$29)*'Tax Tables'!$B$30,MIN(MAX(H313,0),'Tax Tables'!$B$23)*'Tax Tables'!$B$24+MIN(MAX(MAX(H313,0)-'Tax Tables'!$B$23,0),'Tax Tables'!$B$25)*'Tax Tables'!$B$26))*Calculator!$B$11,Calculator!$B$12)</f>
        <v>25075</v>
      </c>
      <c r="J313" s="11" t="n">
        <f aca="false">MAX(H313,0)-I313</f>
        <v>224925</v>
      </c>
      <c r="K313" s="11" t="n">
        <f aca="false">MIN(IF(A313&gt;0,Calculator!$B$13,0)+E313+Calculator!$B$14,'Tax Tables'!$B$36)</f>
        <v>1000</v>
      </c>
      <c r="L313" s="11" t="n">
        <f aca="false">MAX(A313-K313,0)</f>
        <v>149000</v>
      </c>
      <c r="M313" s="11" t="n">
        <f aca="false">SUMPRODUCT((L313&gt;'Tax Tables'!$A$5:$A$17)*(L313-'Tax Tables'!$A$5:$A$17)*'Tax Tables'!$C$5:$C$17)</f>
        <v>12300</v>
      </c>
      <c r="N313" s="11" t="n">
        <f aca="false">IF(H313&lt;0,-1E+099,A313-E313-M313+J313+(E313+F313)*Calculator!$B$9)</f>
        <v>362625</v>
      </c>
      <c r="O313" s="2"/>
      <c r="P313" s="11" t="n">
        <f aca="false">300*$B$3</f>
        <v>150000</v>
      </c>
      <c r="Q313" s="11" t="n">
        <f aca="false">MIN(P313,'Tax Tables'!$B$31*'Tax Tables'!$B$32)</f>
        <v>96000</v>
      </c>
      <c r="R313" s="11" t="n">
        <f aca="false">P313-Q313</f>
        <v>54000</v>
      </c>
      <c r="S313" s="11" t="n">
        <f aca="false">IF(Calculator!$B$6="Yes",MIN(Q313,'Tax Tables'!$B$31*'Tax Tables'!$B$32),0)</f>
        <v>96000</v>
      </c>
      <c r="T313" s="11" t="n">
        <f aca="false">S313*Calculator!$B$7</f>
        <v>19200</v>
      </c>
      <c r="U313" s="11" t="n">
        <f aca="false">S313*Calculator!$B$8</f>
        <v>16320</v>
      </c>
      <c r="V313" s="11" t="n">
        <f aca="false">IF(Q313&gt;0,'Tax Tables'!$B$32*MIN(MAX(Q313/'Tax Tables'!$B$32*'Tax Tables'!$B$33,'Tax Tables'!$B$34),'Tax Tables'!$B$35),0)</f>
        <v>135</v>
      </c>
      <c r="W313" s="11" t="n">
        <f aca="false">Calculator!$B$5-P313-U313-V313</f>
        <v>233545</v>
      </c>
      <c r="X313" s="11" t="n">
        <f aca="false">'Tax Tables'!$B$22*(MAX(W313,0)-IF(Calculator!$B$10="Yes",MIN(MAX(W313,0),'Tax Tables'!$B$27)*'Tax Tables'!$B$28+MIN(MAX(MAX(W313,0)-'Tax Tables'!$B$27,0),'Tax Tables'!$B$29)*'Tax Tables'!$B$30,MIN(MAX(W313,0),'Tax Tables'!$B$23)*'Tax Tables'!$B$24+MIN(MAX(MAX(W313,0)-'Tax Tables'!$B$23,0),'Tax Tables'!$B$25)*'Tax Tables'!$B$26))*1-MIN('Tax Tables'!$B$22*(MAX(W313,0)-IF(Calculator!$B$10="Yes",MIN(MAX(W313,0),'Tax Tables'!$B$27)*'Tax Tables'!$B$28+MIN(MAX(MAX(W313,0)-'Tax Tables'!$B$27,0),'Tax Tables'!$B$29)*'Tax Tables'!$B$30,MIN(MAX(W313,0),'Tax Tables'!$B$23)*'Tax Tables'!$B$24+MIN(MAX(MAX(W313,0)-'Tax Tables'!$B$23,0),'Tax Tables'!$B$25)*'Tax Tables'!$B$26))*Calculator!$B$11,Calculator!$B$12)</f>
        <v>22277.65</v>
      </c>
      <c r="Y313" s="11" t="n">
        <f aca="false">MAX(W313,0)-X313</f>
        <v>211267.35</v>
      </c>
      <c r="Z313" s="11" t="n">
        <f aca="false">MIN(IF(P313&gt;0,Calculator!$B$13,0)+T313+Calculator!$B$14,'Tax Tables'!$B$36)</f>
        <v>20200</v>
      </c>
      <c r="AA313" s="11" t="n">
        <f aca="false">MAX(P313-Z313,0)</f>
        <v>129800</v>
      </c>
      <c r="AB313" s="11" t="n">
        <f aca="false">SUMPRODUCT((AA313&gt;'Tax Tables'!$A$5:$A$17)*(AA313-'Tax Tables'!$A$5:$A$17)*'Tax Tables'!$C$5:$C$17)</f>
        <v>9420</v>
      </c>
      <c r="AC313" s="11" t="n">
        <f aca="false">IF(W313&lt;0,-1E+099,P313-T313-AB313+Y313+(T313+U313)*Calculator!$B$9)</f>
        <v>368167.35</v>
      </c>
    </row>
    <row r="314" customFormat="false" ht="15" hidden="false" customHeight="false" outlineLevel="0" collapsed="false">
      <c r="A314" s="11" t="n">
        <f aca="false">301*$B$3</f>
        <v>150500</v>
      </c>
      <c r="B314" s="11" t="n">
        <f aca="false">0</f>
        <v>0</v>
      </c>
      <c r="C314" s="11" t="n">
        <f aca="false">A314-B314</f>
        <v>150500</v>
      </c>
      <c r="D314" s="11" t="n">
        <f aca="false">IF(Calculator!$B$6="Yes",MIN(B314,'Tax Tables'!$B$31*'Tax Tables'!$B$32),0)</f>
        <v>0</v>
      </c>
      <c r="E314" s="11" t="n">
        <f aca="false">D314*Calculator!$B$7</f>
        <v>0</v>
      </c>
      <c r="F314" s="11" t="n">
        <f aca="false">D314*Calculator!$B$8</f>
        <v>0</v>
      </c>
      <c r="G314" s="11" t="n">
        <f aca="false">IF(B314&gt;0,'Tax Tables'!$B$32*MIN(MAX(B314/'Tax Tables'!$B$32*'Tax Tables'!$B$33,'Tax Tables'!$B$34),'Tax Tables'!$B$35),0)</f>
        <v>0</v>
      </c>
      <c r="H314" s="11" t="n">
        <f aca="false">Calculator!$B$5-A314-F314-G314</f>
        <v>249500</v>
      </c>
      <c r="I314" s="11" t="n">
        <f aca="false">'Tax Tables'!$B$22*(MAX(H314,0)-IF(Calculator!$B$10="Yes",MIN(MAX(H314,0),'Tax Tables'!$B$27)*'Tax Tables'!$B$28+MIN(MAX(MAX(H314,0)-'Tax Tables'!$B$27,0),'Tax Tables'!$B$29)*'Tax Tables'!$B$30,MIN(MAX(H314,0),'Tax Tables'!$B$23)*'Tax Tables'!$B$24+MIN(MAX(MAX(H314,0)-'Tax Tables'!$B$23,0),'Tax Tables'!$B$25)*'Tax Tables'!$B$26))*1-MIN('Tax Tables'!$B$22*(MAX(H314,0)-IF(Calculator!$B$10="Yes",MIN(MAX(H314,0),'Tax Tables'!$B$27)*'Tax Tables'!$B$28+MIN(MAX(MAX(H314,0)-'Tax Tables'!$B$27,0),'Tax Tables'!$B$29)*'Tax Tables'!$B$30,MIN(MAX(H314,0),'Tax Tables'!$B$23)*'Tax Tables'!$B$24+MIN(MAX(MAX(H314,0)-'Tax Tables'!$B$23,0),'Tax Tables'!$B$25)*'Tax Tables'!$B$26))*Calculator!$B$11,Calculator!$B$12)</f>
        <v>24990</v>
      </c>
      <c r="J314" s="11" t="n">
        <f aca="false">MAX(H314,0)-I314</f>
        <v>224510</v>
      </c>
      <c r="K314" s="11" t="n">
        <f aca="false">MIN(IF(A314&gt;0,Calculator!$B$13,0)+E314+Calculator!$B$14,'Tax Tables'!$B$36)</f>
        <v>1000</v>
      </c>
      <c r="L314" s="11" t="n">
        <f aca="false">MAX(A314-K314,0)</f>
        <v>149500</v>
      </c>
      <c r="M314" s="11" t="n">
        <f aca="false">SUMPRODUCT((L314&gt;'Tax Tables'!$A$5:$A$17)*(L314-'Tax Tables'!$A$5:$A$17)*'Tax Tables'!$C$5:$C$17)</f>
        <v>12375</v>
      </c>
      <c r="N314" s="11" t="n">
        <f aca="false">IF(H314&lt;0,-1E+099,A314-E314-M314+J314+(E314+F314)*Calculator!$B$9)</f>
        <v>362635</v>
      </c>
      <c r="O314" s="2"/>
      <c r="P314" s="11" t="n">
        <f aca="false">301*$B$3</f>
        <v>150500</v>
      </c>
      <c r="Q314" s="11" t="n">
        <f aca="false">MIN(P314,'Tax Tables'!$B$31*'Tax Tables'!$B$32)</f>
        <v>96000</v>
      </c>
      <c r="R314" s="11" t="n">
        <f aca="false">P314-Q314</f>
        <v>54500</v>
      </c>
      <c r="S314" s="11" t="n">
        <f aca="false">IF(Calculator!$B$6="Yes",MIN(Q314,'Tax Tables'!$B$31*'Tax Tables'!$B$32),0)</f>
        <v>96000</v>
      </c>
      <c r="T314" s="11" t="n">
        <f aca="false">S314*Calculator!$B$7</f>
        <v>19200</v>
      </c>
      <c r="U314" s="11" t="n">
        <f aca="false">S314*Calculator!$B$8</f>
        <v>16320</v>
      </c>
      <c r="V314" s="11" t="n">
        <f aca="false">IF(Q314&gt;0,'Tax Tables'!$B$32*MIN(MAX(Q314/'Tax Tables'!$B$32*'Tax Tables'!$B$33,'Tax Tables'!$B$34),'Tax Tables'!$B$35),0)</f>
        <v>135</v>
      </c>
      <c r="W314" s="11" t="n">
        <f aca="false">Calculator!$B$5-P314-U314-V314</f>
        <v>233045</v>
      </c>
      <c r="X314" s="11" t="n">
        <f aca="false">'Tax Tables'!$B$22*(MAX(W314,0)-IF(Calculator!$B$10="Yes",MIN(MAX(W314,0),'Tax Tables'!$B$27)*'Tax Tables'!$B$28+MIN(MAX(MAX(W314,0)-'Tax Tables'!$B$27,0),'Tax Tables'!$B$29)*'Tax Tables'!$B$30,MIN(MAX(W314,0),'Tax Tables'!$B$23)*'Tax Tables'!$B$24+MIN(MAX(MAX(W314,0)-'Tax Tables'!$B$23,0),'Tax Tables'!$B$25)*'Tax Tables'!$B$26))*1-MIN('Tax Tables'!$B$22*(MAX(W314,0)-IF(Calculator!$B$10="Yes",MIN(MAX(W314,0),'Tax Tables'!$B$27)*'Tax Tables'!$B$28+MIN(MAX(MAX(W314,0)-'Tax Tables'!$B$27,0),'Tax Tables'!$B$29)*'Tax Tables'!$B$30,MIN(MAX(W314,0),'Tax Tables'!$B$23)*'Tax Tables'!$B$24+MIN(MAX(MAX(W314,0)-'Tax Tables'!$B$23,0),'Tax Tables'!$B$25)*'Tax Tables'!$B$26))*Calculator!$B$11,Calculator!$B$12)</f>
        <v>22192.65</v>
      </c>
      <c r="Y314" s="11" t="n">
        <f aca="false">MAX(W314,0)-X314</f>
        <v>210852.35</v>
      </c>
      <c r="Z314" s="11" t="n">
        <f aca="false">MIN(IF(P314&gt;0,Calculator!$B$13,0)+T314+Calculator!$B$14,'Tax Tables'!$B$36)</f>
        <v>20200</v>
      </c>
      <c r="AA314" s="11" t="n">
        <f aca="false">MAX(P314-Z314,0)</f>
        <v>130300</v>
      </c>
      <c r="AB314" s="11" t="n">
        <f aca="false">SUMPRODUCT((AA314&gt;'Tax Tables'!$A$5:$A$17)*(AA314-'Tax Tables'!$A$5:$A$17)*'Tax Tables'!$C$5:$C$17)</f>
        <v>9495</v>
      </c>
      <c r="AC314" s="11" t="n">
        <f aca="false">IF(W314&lt;0,-1E+099,P314-T314-AB314+Y314+(T314+U314)*Calculator!$B$9)</f>
        <v>368177.35</v>
      </c>
    </row>
    <row r="315" customFormat="false" ht="15" hidden="false" customHeight="false" outlineLevel="0" collapsed="false">
      <c r="A315" s="11" t="n">
        <f aca="false">302*$B$3</f>
        <v>151000</v>
      </c>
      <c r="B315" s="11" t="n">
        <f aca="false">0</f>
        <v>0</v>
      </c>
      <c r="C315" s="11" t="n">
        <f aca="false">A315-B315</f>
        <v>151000</v>
      </c>
      <c r="D315" s="11" t="n">
        <f aca="false">IF(Calculator!$B$6="Yes",MIN(B315,'Tax Tables'!$B$31*'Tax Tables'!$B$32),0)</f>
        <v>0</v>
      </c>
      <c r="E315" s="11" t="n">
        <f aca="false">D315*Calculator!$B$7</f>
        <v>0</v>
      </c>
      <c r="F315" s="11" t="n">
        <f aca="false">D315*Calculator!$B$8</f>
        <v>0</v>
      </c>
      <c r="G315" s="11" t="n">
        <f aca="false">IF(B315&gt;0,'Tax Tables'!$B$32*MIN(MAX(B315/'Tax Tables'!$B$32*'Tax Tables'!$B$33,'Tax Tables'!$B$34),'Tax Tables'!$B$35),0)</f>
        <v>0</v>
      </c>
      <c r="H315" s="11" t="n">
        <f aca="false">Calculator!$B$5-A315-F315-G315</f>
        <v>249000</v>
      </c>
      <c r="I315" s="11" t="n">
        <f aca="false">'Tax Tables'!$B$22*(MAX(H315,0)-IF(Calculator!$B$10="Yes",MIN(MAX(H315,0),'Tax Tables'!$B$27)*'Tax Tables'!$B$28+MIN(MAX(MAX(H315,0)-'Tax Tables'!$B$27,0),'Tax Tables'!$B$29)*'Tax Tables'!$B$30,MIN(MAX(H315,0),'Tax Tables'!$B$23)*'Tax Tables'!$B$24+MIN(MAX(MAX(H315,0)-'Tax Tables'!$B$23,0),'Tax Tables'!$B$25)*'Tax Tables'!$B$26))*1-MIN('Tax Tables'!$B$22*(MAX(H315,0)-IF(Calculator!$B$10="Yes",MIN(MAX(H315,0),'Tax Tables'!$B$27)*'Tax Tables'!$B$28+MIN(MAX(MAX(H315,0)-'Tax Tables'!$B$27,0),'Tax Tables'!$B$29)*'Tax Tables'!$B$30,MIN(MAX(H315,0),'Tax Tables'!$B$23)*'Tax Tables'!$B$24+MIN(MAX(MAX(H315,0)-'Tax Tables'!$B$23,0),'Tax Tables'!$B$25)*'Tax Tables'!$B$26))*Calculator!$B$11,Calculator!$B$12)</f>
        <v>24905</v>
      </c>
      <c r="J315" s="11" t="n">
        <f aca="false">MAX(H315,0)-I315</f>
        <v>224095</v>
      </c>
      <c r="K315" s="11" t="n">
        <f aca="false">MIN(IF(A315&gt;0,Calculator!$B$13,0)+E315+Calculator!$B$14,'Tax Tables'!$B$36)</f>
        <v>1000</v>
      </c>
      <c r="L315" s="11" t="n">
        <f aca="false">MAX(A315-K315,0)</f>
        <v>150000</v>
      </c>
      <c r="M315" s="11" t="n">
        <f aca="false">SUMPRODUCT((L315&gt;'Tax Tables'!$A$5:$A$17)*(L315-'Tax Tables'!$A$5:$A$17)*'Tax Tables'!$C$5:$C$17)</f>
        <v>12450</v>
      </c>
      <c r="N315" s="11" t="n">
        <f aca="false">IF(H315&lt;0,-1E+099,A315-E315-M315+J315+(E315+F315)*Calculator!$B$9)</f>
        <v>362645</v>
      </c>
      <c r="O315" s="2"/>
      <c r="P315" s="11" t="n">
        <f aca="false">302*$B$3</f>
        <v>151000</v>
      </c>
      <c r="Q315" s="11" t="n">
        <f aca="false">MIN(P315,'Tax Tables'!$B$31*'Tax Tables'!$B$32)</f>
        <v>96000</v>
      </c>
      <c r="R315" s="11" t="n">
        <f aca="false">P315-Q315</f>
        <v>55000</v>
      </c>
      <c r="S315" s="11" t="n">
        <f aca="false">IF(Calculator!$B$6="Yes",MIN(Q315,'Tax Tables'!$B$31*'Tax Tables'!$B$32),0)</f>
        <v>96000</v>
      </c>
      <c r="T315" s="11" t="n">
        <f aca="false">S315*Calculator!$B$7</f>
        <v>19200</v>
      </c>
      <c r="U315" s="11" t="n">
        <f aca="false">S315*Calculator!$B$8</f>
        <v>16320</v>
      </c>
      <c r="V315" s="11" t="n">
        <f aca="false">IF(Q315&gt;0,'Tax Tables'!$B$32*MIN(MAX(Q315/'Tax Tables'!$B$32*'Tax Tables'!$B$33,'Tax Tables'!$B$34),'Tax Tables'!$B$35),0)</f>
        <v>135</v>
      </c>
      <c r="W315" s="11" t="n">
        <f aca="false">Calculator!$B$5-P315-U315-V315</f>
        <v>232545</v>
      </c>
      <c r="X315" s="11" t="n">
        <f aca="false">'Tax Tables'!$B$22*(MAX(W315,0)-IF(Calculator!$B$10="Yes",MIN(MAX(W315,0),'Tax Tables'!$B$27)*'Tax Tables'!$B$28+MIN(MAX(MAX(W315,0)-'Tax Tables'!$B$27,0),'Tax Tables'!$B$29)*'Tax Tables'!$B$30,MIN(MAX(W315,0),'Tax Tables'!$B$23)*'Tax Tables'!$B$24+MIN(MAX(MAX(W315,0)-'Tax Tables'!$B$23,0),'Tax Tables'!$B$25)*'Tax Tables'!$B$26))*1-MIN('Tax Tables'!$B$22*(MAX(W315,0)-IF(Calculator!$B$10="Yes",MIN(MAX(W315,0),'Tax Tables'!$B$27)*'Tax Tables'!$B$28+MIN(MAX(MAX(W315,0)-'Tax Tables'!$B$27,0),'Tax Tables'!$B$29)*'Tax Tables'!$B$30,MIN(MAX(W315,0),'Tax Tables'!$B$23)*'Tax Tables'!$B$24+MIN(MAX(MAX(W315,0)-'Tax Tables'!$B$23,0),'Tax Tables'!$B$25)*'Tax Tables'!$B$26))*Calculator!$B$11,Calculator!$B$12)</f>
        <v>22107.65</v>
      </c>
      <c r="Y315" s="11" t="n">
        <f aca="false">MAX(W315,0)-X315</f>
        <v>210437.35</v>
      </c>
      <c r="Z315" s="11" t="n">
        <f aca="false">MIN(IF(P315&gt;0,Calculator!$B$13,0)+T315+Calculator!$B$14,'Tax Tables'!$B$36)</f>
        <v>20200</v>
      </c>
      <c r="AA315" s="11" t="n">
        <f aca="false">MAX(P315-Z315,0)</f>
        <v>130800</v>
      </c>
      <c r="AB315" s="11" t="n">
        <f aca="false">SUMPRODUCT((AA315&gt;'Tax Tables'!$A$5:$A$17)*(AA315-'Tax Tables'!$A$5:$A$17)*'Tax Tables'!$C$5:$C$17)</f>
        <v>9570</v>
      </c>
      <c r="AC315" s="11" t="n">
        <f aca="false">IF(W315&lt;0,-1E+099,P315-T315-AB315+Y315+(T315+U315)*Calculator!$B$9)</f>
        <v>368187.35</v>
      </c>
    </row>
    <row r="316" customFormat="false" ht="15" hidden="false" customHeight="false" outlineLevel="0" collapsed="false">
      <c r="A316" s="11" t="n">
        <f aca="false">303*$B$3</f>
        <v>151500</v>
      </c>
      <c r="B316" s="11" t="n">
        <f aca="false">0</f>
        <v>0</v>
      </c>
      <c r="C316" s="11" t="n">
        <f aca="false">A316-B316</f>
        <v>151500</v>
      </c>
      <c r="D316" s="11" t="n">
        <f aca="false">IF(Calculator!$B$6="Yes",MIN(B316,'Tax Tables'!$B$31*'Tax Tables'!$B$32),0)</f>
        <v>0</v>
      </c>
      <c r="E316" s="11" t="n">
        <f aca="false">D316*Calculator!$B$7</f>
        <v>0</v>
      </c>
      <c r="F316" s="11" t="n">
        <f aca="false">D316*Calculator!$B$8</f>
        <v>0</v>
      </c>
      <c r="G316" s="11" t="n">
        <f aca="false">IF(B316&gt;0,'Tax Tables'!$B$32*MIN(MAX(B316/'Tax Tables'!$B$32*'Tax Tables'!$B$33,'Tax Tables'!$B$34),'Tax Tables'!$B$35),0)</f>
        <v>0</v>
      </c>
      <c r="H316" s="11" t="n">
        <f aca="false">Calculator!$B$5-A316-F316-G316</f>
        <v>248500</v>
      </c>
      <c r="I316" s="11" t="n">
        <f aca="false">'Tax Tables'!$B$22*(MAX(H316,0)-IF(Calculator!$B$10="Yes",MIN(MAX(H316,0),'Tax Tables'!$B$27)*'Tax Tables'!$B$28+MIN(MAX(MAX(H316,0)-'Tax Tables'!$B$27,0),'Tax Tables'!$B$29)*'Tax Tables'!$B$30,MIN(MAX(H316,0),'Tax Tables'!$B$23)*'Tax Tables'!$B$24+MIN(MAX(MAX(H316,0)-'Tax Tables'!$B$23,0),'Tax Tables'!$B$25)*'Tax Tables'!$B$26))*1-MIN('Tax Tables'!$B$22*(MAX(H316,0)-IF(Calculator!$B$10="Yes",MIN(MAX(H316,0),'Tax Tables'!$B$27)*'Tax Tables'!$B$28+MIN(MAX(MAX(H316,0)-'Tax Tables'!$B$27,0),'Tax Tables'!$B$29)*'Tax Tables'!$B$30,MIN(MAX(H316,0),'Tax Tables'!$B$23)*'Tax Tables'!$B$24+MIN(MAX(MAX(H316,0)-'Tax Tables'!$B$23,0),'Tax Tables'!$B$25)*'Tax Tables'!$B$26))*Calculator!$B$11,Calculator!$B$12)</f>
        <v>24820</v>
      </c>
      <c r="J316" s="11" t="n">
        <f aca="false">MAX(H316,0)-I316</f>
        <v>223680</v>
      </c>
      <c r="K316" s="11" t="n">
        <f aca="false">MIN(IF(A316&gt;0,Calculator!$B$13,0)+E316+Calculator!$B$14,'Tax Tables'!$B$36)</f>
        <v>1000</v>
      </c>
      <c r="L316" s="11" t="n">
        <f aca="false">MAX(A316-K316,0)</f>
        <v>150500</v>
      </c>
      <c r="M316" s="11" t="n">
        <f aca="false">SUMPRODUCT((L316&gt;'Tax Tables'!$A$5:$A$17)*(L316-'Tax Tables'!$A$5:$A$17)*'Tax Tables'!$C$5:$C$17)</f>
        <v>12525</v>
      </c>
      <c r="N316" s="11" t="n">
        <f aca="false">IF(H316&lt;0,-1E+099,A316-E316-M316+J316+(E316+F316)*Calculator!$B$9)</f>
        <v>362655</v>
      </c>
      <c r="O316" s="2"/>
      <c r="P316" s="11" t="n">
        <f aca="false">303*$B$3</f>
        <v>151500</v>
      </c>
      <c r="Q316" s="11" t="n">
        <f aca="false">MIN(P316,'Tax Tables'!$B$31*'Tax Tables'!$B$32)</f>
        <v>96000</v>
      </c>
      <c r="R316" s="11" t="n">
        <f aca="false">P316-Q316</f>
        <v>55500</v>
      </c>
      <c r="S316" s="11" t="n">
        <f aca="false">IF(Calculator!$B$6="Yes",MIN(Q316,'Tax Tables'!$B$31*'Tax Tables'!$B$32),0)</f>
        <v>96000</v>
      </c>
      <c r="T316" s="11" t="n">
        <f aca="false">S316*Calculator!$B$7</f>
        <v>19200</v>
      </c>
      <c r="U316" s="11" t="n">
        <f aca="false">S316*Calculator!$B$8</f>
        <v>16320</v>
      </c>
      <c r="V316" s="11" t="n">
        <f aca="false">IF(Q316&gt;0,'Tax Tables'!$B$32*MIN(MAX(Q316/'Tax Tables'!$B$32*'Tax Tables'!$B$33,'Tax Tables'!$B$34),'Tax Tables'!$B$35),0)</f>
        <v>135</v>
      </c>
      <c r="W316" s="11" t="n">
        <f aca="false">Calculator!$B$5-P316-U316-V316</f>
        <v>232045</v>
      </c>
      <c r="X316" s="11" t="n">
        <f aca="false">'Tax Tables'!$B$22*(MAX(W316,0)-IF(Calculator!$B$10="Yes",MIN(MAX(W316,0),'Tax Tables'!$B$27)*'Tax Tables'!$B$28+MIN(MAX(MAX(W316,0)-'Tax Tables'!$B$27,0),'Tax Tables'!$B$29)*'Tax Tables'!$B$30,MIN(MAX(W316,0),'Tax Tables'!$B$23)*'Tax Tables'!$B$24+MIN(MAX(MAX(W316,0)-'Tax Tables'!$B$23,0),'Tax Tables'!$B$25)*'Tax Tables'!$B$26))*1-MIN('Tax Tables'!$B$22*(MAX(W316,0)-IF(Calculator!$B$10="Yes",MIN(MAX(W316,0),'Tax Tables'!$B$27)*'Tax Tables'!$B$28+MIN(MAX(MAX(W316,0)-'Tax Tables'!$B$27,0),'Tax Tables'!$B$29)*'Tax Tables'!$B$30,MIN(MAX(W316,0),'Tax Tables'!$B$23)*'Tax Tables'!$B$24+MIN(MAX(MAX(W316,0)-'Tax Tables'!$B$23,0),'Tax Tables'!$B$25)*'Tax Tables'!$B$26))*Calculator!$B$11,Calculator!$B$12)</f>
        <v>22022.65</v>
      </c>
      <c r="Y316" s="11" t="n">
        <f aca="false">MAX(W316,0)-X316</f>
        <v>210022.35</v>
      </c>
      <c r="Z316" s="11" t="n">
        <f aca="false">MIN(IF(P316&gt;0,Calculator!$B$13,0)+T316+Calculator!$B$14,'Tax Tables'!$B$36)</f>
        <v>20200</v>
      </c>
      <c r="AA316" s="11" t="n">
        <f aca="false">MAX(P316-Z316,0)</f>
        <v>131300</v>
      </c>
      <c r="AB316" s="11" t="n">
        <f aca="false">SUMPRODUCT((AA316&gt;'Tax Tables'!$A$5:$A$17)*(AA316-'Tax Tables'!$A$5:$A$17)*'Tax Tables'!$C$5:$C$17)</f>
        <v>9645</v>
      </c>
      <c r="AC316" s="11" t="n">
        <f aca="false">IF(W316&lt;0,-1E+099,P316-T316-AB316+Y316+(T316+U316)*Calculator!$B$9)</f>
        <v>368197.35</v>
      </c>
    </row>
    <row r="317" customFormat="false" ht="15" hidden="false" customHeight="false" outlineLevel="0" collapsed="false">
      <c r="A317" s="11" t="n">
        <f aca="false">304*$B$3</f>
        <v>152000</v>
      </c>
      <c r="B317" s="11" t="n">
        <f aca="false">0</f>
        <v>0</v>
      </c>
      <c r="C317" s="11" t="n">
        <f aca="false">A317-B317</f>
        <v>152000</v>
      </c>
      <c r="D317" s="11" t="n">
        <f aca="false">IF(Calculator!$B$6="Yes",MIN(B317,'Tax Tables'!$B$31*'Tax Tables'!$B$32),0)</f>
        <v>0</v>
      </c>
      <c r="E317" s="11" t="n">
        <f aca="false">D317*Calculator!$B$7</f>
        <v>0</v>
      </c>
      <c r="F317" s="11" t="n">
        <f aca="false">D317*Calculator!$B$8</f>
        <v>0</v>
      </c>
      <c r="G317" s="11" t="n">
        <f aca="false">IF(B317&gt;0,'Tax Tables'!$B$32*MIN(MAX(B317/'Tax Tables'!$B$32*'Tax Tables'!$B$33,'Tax Tables'!$B$34),'Tax Tables'!$B$35),0)</f>
        <v>0</v>
      </c>
      <c r="H317" s="11" t="n">
        <f aca="false">Calculator!$B$5-A317-F317-G317</f>
        <v>248000</v>
      </c>
      <c r="I317" s="11" t="n">
        <f aca="false">'Tax Tables'!$B$22*(MAX(H317,0)-IF(Calculator!$B$10="Yes",MIN(MAX(H317,0),'Tax Tables'!$B$27)*'Tax Tables'!$B$28+MIN(MAX(MAX(H317,0)-'Tax Tables'!$B$27,0),'Tax Tables'!$B$29)*'Tax Tables'!$B$30,MIN(MAX(H317,0),'Tax Tables'!$B$23)*'Tax Tables'!$B$24+MIN(MAX(MAX(H317,0)-'Tax Tables'!$B$23,0),'Tax Tables'!$B$25)*'Tax Tables'!$B$26))*1-MIN('Tax Tables'!$B$22*(MAX(H317,0)-IF(Calculator!$B$10="Yes",MIN(MAX(H317,0),'Tax Tables'!$B$27)*'Tax Tables'!$B$28+MIN(MAX(MAX(H317,0)-'Tax Tables'!$B$27,0),'Tax Tables'!$B$29)*'Tax Tables'!$B$30,MIN(MAX(H317,0),'Tax Tables'!$B$23)*'Tax Tables'!$B$24+MIN(MAX(MAX(H317,0)-'Tax Tables'!$B$23,0),'Tax Tables'!$B$25)*'Tax Tables'!$B$26))*Calculator!$B$11,Calculator!$B$12)</f>
        <v>24735</v>
      </c>
      <c r="J317" s="11" t="n">
        <f aca="false">MAX(H317,0)-I317</f>
        <v>223265</v>
      </c>
      <c r="K317" s="11" t="n">
        <f aca="false">MIN(IF(A317&gt;0,Calculator!$B$13,0)+E317+Calculator!$B$14,'Tax Tables'!$B$36)</f>
        <v>1000</v>
      </c>
      <c r="L317" s="11" t="n">
        <f aca="false">MAX(A317-K317,0)</f>
        <v>151000</v>
      </c>
      <c r="M317" s="11" t="n">
        <f aca="false">SUMPRODUCT((L317&gt;'Tax Tables'!$A$5:$A$17)*(L317-'Tax Tables'!$A$5:$A$17)*'Tax Tables'!$C$5:$C$17)</f>
        <v>12600</v>
      </c>
      <c r="N317" s="11" t="n">
        <f aca="false">IF(H317&lt;0,-1E+099,A317-E317-M317+J317+(E317+F317)*Calculator!$B$9)</f>
        <v>362665</v>
      </c>
      <c r="O317" s="2"/>
      <c r="P317" s="11" t="n">
        <f aca="false">304*$B$3</f>
        <v>152000</v>
      </c>
      <c r="Q317" s="11" t="n">
        <f aca="false">MIN(P317,'Tax Tables'!$B$31*'Tax Tables'!$B$32)</f>
        <v>96000</v>
      </c>
      <c r="R317" s="11" t="n">
        <f aca="false">P317-Q317</f>
        <v>56000</v>
      </c>
      <c r="S317" s="11" t="n">
        <f aca="false">IF(Calculator!$B$6="Yes",MIN(Q317,'Tax Tables'!$B$31*'Tax Tables'!$B$32),0)</f>
        <v>96000</v>
      </c>
      <c r="T317" s="11" t="n">
        <f aca="false">S317*Calculator!$B$7</f>
        <v>19200</v>
      </c>
      <c r="U317" s="11" t="n">
        <f aca="false">S317*Calculator!$B$8</f>
        <v>16320</v>
      </c>
      <c r="V317" s="11" t="n">
        <f aca="false">IF(Q317&gt;0,'Tax Tables'!$B$32*MIN(MAX(Q317/'Tax Tables'!$B$32*'Tax Tables'!$B$33,'Tax Tables'!$B$34),'Tax Tables'!$B$35),0)</f>
        <v>135</v>
      </c>
      <c r="W317" s="11" t="n">
        <f aca="false">Calculator!$B$5-P317-U317-V317</f>
        <v>231545</v>
      </c>
      <c r="X317" s="11" t="n">
        <f aca="false">'Tax Tables'!$B$22*(MAX(W317,0)-IF(Calculator!$B$10="Yes",MIN(MAX(W317,0),'Tax Tables'!$B$27)*'Tax Tables'!$B$28+MIN(MAX(MAX(W317,0)-'Tax Tables'!$B$27,0),'Tax Tables'!$B$29)*'Tax Tables'!$B$30,MIN(MAX(W317,0),'Tax Tables'!$B$23)*'Tax Tables'!$B$24+MIN(MAX(MAX(W317,0)-'Tax Tables'!$B$23,0),'Tax Tables'!$B$25)*'Tax Tables'!$B$26))*1-MIN('Tax Tables'!$B$22*(MAX(W317,0)-IF(Calculator!$B$10="Yes",MIN(MAX(W317,0),'Tax Tables'!$B$27)*'Tax Tables'!$B$28+MIN(MAX(MAX(W317,0)-'Tax Tables'!$B$27,0),'Tax Tables'!$B$29)*'Tax Tables'!$B$30,MIN(MAX(W317,0),'Tax Tables'!$B$23)*'Tax Tables'!$B$24+MIN(MAX(MAX(W317,0)-'Tax Tables'!$B$23,0),'Tax Tables'!$B$25)*'Tax Tables'!$B$26))*Calculator!$B$11,Calculator!$B$12)</f>
        <v>21937.65</v>
      </c>
      <c r="Y317" s="11" t="n">
        <f aca="false">MAX(W317,0)-X317</f>
        <v>209607.35</v>
      </c>
      <c r="Z317" s="11" t="n">
        <f aca="false">MIN(IF(P317&gt;0,Calculator!$B$13,0)+T317+Calculator!$B$14,'Tax Tables'!$B$36)</f>
        <v>20200</v>
      </c>
      <c r="AA317" s="11" t="n">
        <f aca="false">MAX(P317-Z317,0)</f>
        <v>131800</v>
      </c>
      <c r="AB317" s="11" t="n">
        <f aca="false">SUMPRODUCT((AA317&gt;'Tax Tables'!$A$5:$A$17)*(AA317-'Tax Tables'!$A$5:$A$17)*'Tax Tables'!$C$5:$C$17)</f>
        <v>9720</v>
      </c>
      <c r="AC317" s="11" t="n">
        <f aca="false">IF(W317&lt;0,-1E+099,P317-T317-AB317+Y317+(T317+U317)*Calculator!$B$9)</f>
        <v>368207.35</v>
      </c>
    </row>
    <row r="318" customFormat="false" ht="15" hidden="false" customHeight="false" outlineLevel="0" collapsed="false">
      <c r="A318" s="11" t="n">
        <f aca="false">305*$B$3</f>
        <v>152500</v>
      </c>
      <c r="B318" s="11" t="n">
        <f aca="false">0</f>
        <v>0</v>
      </c>
      <c r="C318" s="11" t="n">
        <f aca="false">A318-B318</f>
        <v>152500</v>
      </c>
      <c r="D318" s="11" t="n">
        <f aca="false">IF(Calculator!$B$6="Yes",MIN(B318,'Tax Tables'!$B$31*'Tax Tables'!$B$32),0)</f>
        <v>0</v>
      </c>
      <c r="E318" s="11" t="n">
        <f aca="false">D318*Calculator!$B$7</f>
        <v>0</v>
      </c>
      <c r="F318" s="11" t="n">
        <f aca="false">D318*Calculator!$B$8</f>
        <v>0</v>
      </c>
      <c r="G318" s="11" t="n">
        <f aca="false">IF(B318&gt;0,'Tax Tables'!$B$32*MIN(MAX(B318/'Tax Tables'!$B$32*'Tax Tables'!$B$33,'Tax Tables'!$B$34),'Tax Tables'!$B$35),0)</f>
        <v>0</v>
      </c>
      <c r="H318" s="11" t="n">
        <f aca="false">Calculator!$B$5-A318-F318-G318</f>
        <v>247500</v>
      </c>
      <c r="I318" s="11" t="n">
        <f aca="false">'Tax Tables'!$B$22*(MAX(H318,0)-IF(Calculator!$B$10="Yes",MIN(MAX(H318,0),'Tax Tables'!$B$27)*'Tax Tables'!$B$28+MIN(MAX(MAX(H318,0)-'Tax Tables'!$B$27,0),'Tax Tables'!$B$29)*'Tax Tables'!$B$30,MIN(MAX(H318,0),'Tax Tables'!$B$23)*'Tax Tables'!$B$24+MIN(MAX(MAX(H318,0)-'Tax Tables'!$B$23,0),'Tax Tables'!$B$25)*'Tax Tables'!$B$26))*1-MIN('Tax Tables'!$B$22*(MAX(H318,0)-IF(Calculator!$B$10="Yes",MIN(MAX(H318,0),'Tax Tables'!$B$27)*'Tax Tables'!$B$28+MIN(MAX(MAX(H318,0)-'Tax Tables'!$B$27,0),'Tax Tables'!$B$29)*'Tax Tables'!$B$30,MIN(MAX(H318,0),'Tax Tables'!$B$23)*'Tax Tables'!$B$24+MIN(MAX(MAX(H318,0)-'Tax Tables'!$B$23,0),'Tax Tables'!$B$25)*'Tax Tables'!$B$26))*Calculator!$B$11,Calculator!$B$12)</f>
        <v>24650</v>
      </c>
      <c r="J318" s="11" t="n">
        <f aca="false">MAX(H318,0)-I318</f>
        <v>222850</v>
      </c>
      <c r="K318" s="11" t="n">
        <f aca="false">MIN(IF(A318&gt;0,Calculator!$B$13,0)+E318+Calculator!$B$14,'Tax Tables'!$B$36)</f>
        <v>1000</v>
      </c>
      <c r="L318" s="11" t="n">
        <f aca="false">MAX(A318-K318,0)</f>
        <v>151500</v>
      </c>
      <c r="M318" s="11" t="n">
        <f aca="false">SUMPRODUCT((L318&gt;'Tax Tables'!$A$5:$A$17)*(L318-'Tax Tables'!$A$5:$A$17)*'Tax Tables'!$C$5:$C$17)</f>
        <v>12675</v>
      </c>
      <c r="N318" s="11" t="n">
        <f aca="false">IF(H318&lt;0,-1E+099,A318-E318-M318+J318+(E318+F318)*Calculator!$B$9)</f>
        <v>362675</v>
      </c>
      <c r="O318" s="2"/>
      <c r="P318" s="11" t="n">
        <f aca="false">305*$B$3</f>
        <v>152500</v>
      </c>
      <c r="Q318" s="11" t="n">
        <f aca="false">MIN(P318,'Tax Tables'!$B$31*'Tax Tables'!$B$32)</f>
        <v>96000</v>
      </c>
      <c r="R318" s="11" t="n">
        <f aca="false">P318-Q318</f>
        <v>56500</v>
      </c>
      <c r="S318" s="11" t="n">
        <f aca="false">IF(Calculator!$B$6="Yes",MIN(Q318,'Tax Tables'!$B$31*'Tax Tables'!$B$32),0)</f>
        <v>96000</v>
      </c>
      <c r="T318" s="11" t="n">
        <f aca="false">S318*Calculator!$B$7</f>
        <v>19200</v>
      </c>
      <c r="U318" s="11" t="n">
        <f aca="false">S318*Calculator!$B$8</f>
        <v>16320</v>
      </c>
      <c r="V318" s="11" t="n">
        <f aca="false">IF(Q318&gt;0,'Tax Tables'!$B$32*MIN(MAX(Q318/'Tax Tables'!$B$32*'Tax Tables'!$B$33,'Tax Tables'!$B$34),'Tax Tables'!$B$35),0)</f>
        <v>135</v>
      </c>
      <c r="W318" s="11" t="n">
        <f aca="false">Calculator!$B$5-P318-U318-V318</f>
        <v>231045</v>
      </c>
      <c r="X318" s="11" t="n">
        <f aca="false">'Tax Tables'!$B$22*(MAX(W318,0)-IF(Calculator!$B$10="Yes",MIN(MAX(W318,0),'Tax Tables'!$B$27)*'Tax Tables'!$B$28+MIN(MAX(MAX(W318,0)-'Tax Tables'!$B$27,0),'Tax Tables'!$B$29)*'Tax Tables'!$B$30,MIN(MAX(W318,0),'Tax Tables'!$B$23)*'Tax Tables'!$B$24+MIN(MAX(MAX(W318,0)-'Tax Tables'!$B$23,0),'Tax Tables'!$B$25)*'Tax Tables'!$B$26))*1-MIN('Tax Tables'!$B$22*(MAX(W318,0)-IF(Calculator!$B$10="Yes",MIN(MAX(W318,0),'Tax Tables'!$B$27)*'Tax Tables'!$B$28+MIN(MAX(MAX(W318,0)-'Tax Tables'!$B$27,0),'Tax Tables'!$B$29)*'Tax Tables'!$B$30,MIN(MAX(W318,0),'Tax Tables'!$B$23)*'Tax Tables'!$B$24+MIN(MAX(MAX(W318,0)-'Tax Tables'!$B$23,0),'Tax Tables'!$B$25)*'Tax Tables'!$B$26))*Calculator!$B$11,Calculator!$B$12)</f>
        <v>21852.65</v>
      </c>
      <c r="Y318" s="11" t="n">
        <f aca="false">MAX(W318,0)-X318</f>
        <v>209192.35</v>
      </c>
      <c r="Z318" s="11" t="n">
        <f aca="false">MIN(IF(P318&gt;0,Calculator!$B$13,0)+T318+Calculator!$B$14,'Tax Tables'!$B$36)</f>
        <v>20200</v>
      </c>
      <c r="AA318" s="11" t="n">
        <f aca="false">MAX(P318-Z318,0)</f>
        <v>132300</v>
      </c>
      <c r="AB318" s="11" t="n">
        <f aca="false">SUMPRODUCT((AA318&gt;'Tax Tables'!$A$5:$A$17)*(AA318-'Tax Tables'!$A$5:$A$17)*'Tax Tables'!$C$5:$C$17)</f>
        <v>9795</v>
      </c>
      <c r="AC318" s="11" t="n">
        <f aca="false">IF(W318&lt;0,-1E+099,P318-T318-AB318+Y318+(T318+U318)*Calculator!$B$9)</f>
        <v>368217.35</v>
      </c>
    </row>
    <row r="319" customFormat="false" ht="15" hidden="false" customHeight="false" outlineLevel="0" collapsed="false">
      <c r="A319" s="11" t="n">
        <f aca="false">306*$B$3</f>
        <v>153000</v>
      </c>
      <c r="B319" s="11" t="n">
        <f aca="false">0</f>
        <v>0</v>
      </c>
      <c r="C319" s="11" t="n">
        <f aca="false">A319-B319</f>
        <v>153000</v>
      </c>
      <c r="D319" s="11" t="n">
        <f aca="false">IF(Calculator!$B$6="Yes",MIN(B319,'Tax Tables'!$B$31*'Tax Tables'!$B$32),0)</f>
        <v>0</v>
      </c>
      <c r="E319" s="11" t="n">
        <f aca="false">D319*Calculator!$B$7</f>
        <v>0</v>
      </c>
      <c r="F319" s="11" t="n">
        <f aca="false">D319*Calculator!$B$8</f>
        <v>0</v>
      </c>
      <c r="G319" s="11" t="n">
        <f aca="false">IF(B319&gt;0,'Tax Tables'!$B$32*MIN(MAX(B319/'Tax Tables'!$B$32*'Tax Tables'!$B$33,'Tax Tables'!$B$34),'Tax Tables'!$B$35),0)</f>
        <v>0</v>
      </c>
      <c r="H319" s="11" t="n">
        <f aca="false">Calculator!$B$5-A319-F319-G319</f>
        <v>247000</v>
      </c>
      <c r="I319" s="11" t="n">
        <f aca="false">'Tax Tables'!$B$22*(MAX(H319,0)-IF(Calculator!$B$10="Yes",MIN(MAX(H319,0),'Tax Tables'!$B$27)*'Tax Tables'!$B$28+MIN(MAX(MAX(H319,0)-'Tax Tables'!$B$27,0),'Tax Tables'!$B$29)*'Tax Tables'!$B$30,MIN(MAX(H319,0),'Tax Tables'!$B$23)*'Tax Tables'!$B$24+MIN(MAX(MAX(H319,0)-'Tax Tables'!$B$23,0),'Tax Tables'!$B$25)*'Tax Tables'!$B$26))*1-MIN('Tax Tables'!$B$22*(MAX(H319,0)-IF(Calculator!$B$10="Yes",MIN(MAX(H319,0),'Tax Tables'!$B$27)*'Tax Tables'!$B$28+MIN(MAX(MAX(H319,0)-'Tax Tables'!$B$27,0),'Tax Tables'!$B$29)*'Tax Tables'!$B$30,MIN(MAX(H319,0),'Tax Tables'!$B$23)*'Tax Tables'!$B$24+MIN(MAX(MAX(H319,0)-'Tax Tables'!$B$23,0),'Tax Tables'!$B$25)*'Tax Tables'!$B$26))*Calculator!$B$11,Calculator!$B$12)</f>
        <v>24565</v>
      </c>
      <c r="J319" s="11" t="n">
        <f aca="false">MAX(H319,0)-I319</f>
        <v>222435</v>
      </c>
      <c r="K319" s="11" t="n">
        <f aca="false">MIN(IF(A319&gt;0,Calculator!$B$13,0)+E319+Calculator!$B$14,'Tax Tables'!$B$36)</f>
        <v>1000</v>
      </c>
      <c r="L319" s="11" t="n">
        <f aca="false">MAX(A319-K319,0)</f>
        <v>152000</v>
      </c>
      <c r="M319" s="11" t="n">
        <f aca="false">SUMPRODUCT((L319&gt;'Tax Tables'!$A$5:$A$17)*(L319-'Tax Tables'!$A$5:$A$17)*'Tax Tables'!$C$5:$C$17)</f>
        <v>12750</v>
      </c>
      <c r="N319" s="11" t="n">
        <f aca="false">IF(H319&lt;0,-1E+099,A319-E319-M319+J319+(E319+F319)*Calculator!$B$9)</f>
        <v>362685</v>
      </c>
      <c r="O319" s="2"/>
      <c r="P319" s="11" t="n">
        <f aca="false">306*$B$3</f>
        <v>153000</v>
      </c>
      <c r="Q319" s="11" t="n">
        <f aca="false">MIN(P319,'Tax Tables'!$B$31*'Tax Tables'!$B$32)</f>
        <v>96000</v>
      </c>
      <c r="R319" s="11" t="n">
        <f aca="false">P319-Q319</f>
        <v>57000</v>
      </c>
      <c r="S319" s="11" t="n">
        <f aca="false">IF(Calculator!$B$6="Yes",MIN(Q319,'Tax Tables'!$B$31*'Tax Tables'!$B$32),0)</f>
        <v>96000</v>
      </c>
      <c r="T319" s="11" t="n">
        <f aca="false">S319*Calculator!$B$7</f>
        <v>19200</v>
      </c>
      <c r="U319" s="11" t="n">
        <f aca="false">S319*Calculator!$B$8</f>
        <v>16320</v>
      </c>
      <c r="V319" s="11" t="n">
        <f aca="false">IF(Q319&gt;0,'Tax Tables'!$B$32*MIN(MAX(Q319/'Tax Tables'!$B$32*'Tax Tables'!$B$33,'Tax Tables'!$B$34),'Tax Tables'!$B$35),0)</f>
        <v>135</v>
      </c>
      <c r="W319" s="11" t="n">
        <f aca="false">Calculator!$B$5-P319-U319-V319</f>
        <v>230545</v>
      </c>
      <c r="X319" s="11" t="n">
        <f aca="false">'Tax Tables'!$B$22*(MAX(W319,0)-IF(Calculator!$B$10="Yes",MIN(MAX(W319,0),'Tax Tables'!$B$27)*'Tax Tables'!$B$28+MIN(MAX(MAX(W319,0)-'Tax Tables'!$B$27,0),'Tax Tables'!$B$29)*'Tax Tables'!$B$30,MIN(MAX(W319,0),'Tax Tables'!$B$23)*'Tax Tables'!$B$24+MIN(MAX(MAX(W319,0)-'Tax Tables'!$B$23,0),'Tax Tables'!$B$25)*'Tax Tables'!$B$26))*1-MIN('Tax Tables'!$B$22*(MAX(W319,0)-IF(Calculator!$B$10="Yes",MIN(MAX(W319,0),'Tax Tables'!$B$27)*'Tax Tables'!$B$28+MIN(MAX(MAX(W319,0)-'Tax Tables'!$B$27,0),'Tax Tables'!$B$29)*'Tax Tables'!$B$30,MIN(MAX(W319,0),'Tax Tables'!$B$23)*'Tax Tables'!$B$24+MIN(MAX(MAX(W319,0)-'Tax Tables'!$B$23,0),'Tax Tables'!$B$25)*'Tax Tables'!$B$26))*Calculator!$B$11,Calculator!$B$12)</f>
        <v>21767.65</v>
      </c>
      <c r="Y319" s="11" t="n">
        <f aca="false">MAX(W319,0)-X319</f>
        <v>208777.35</v>
      </c>
      <c r="Z319" s="11" t="n">
        <f aca="false">MIN(IF(P319&gt;0,Calculator!$B$13,0)+T319+Calculator!$B$14,'Tax Tables'!$B$36)</f>
        <v>20200</v>
      </c>
      <c r="AA319" s="11" t="n">
        <f aca="false">MAX(P319-Z319,0)</f>
        <v>132800</v>
      </c>
      <c r="AB319" s="11" t="n">
        <f aca="false">SUMPRODUCT((AA319&gt;'Tax Tables'!$A$5:$A$17)*(AA319-'Tax Tables'!$A$5:$A$17)*'Tax Tables'!$C$5:$C$17)</f>
        <v>9870</v>
      </c>
      <c r="AC319" s="11" t="n">
        <f aca="false">IF(W319&lt;0,-1E+099,P319-T319-AB319+Y319+(T319+U319)*Calculator!$B$9)</f>
        <v>368227.35</v>
      </c>
    </row>
    <row r="320" customFormat="false" ht="15" hidden="false" customHeight="false" outlineLevel="0" collapsed="false">
      <c r="A320" s="11" t="n">
        <f aca="false">307*$B$3</f>
        <v>153500</v>
      </c>
      <c r="B320" s="11" t="n">
        <f aca="false">0</f>
        <v>0</v>
      </c>
      <c r="C320" s="11" t="n">
        <f aca="false">A320-B320</f>
        <v>153500</v>
      </c>
      <c r="D320" s="11" t="n">
        <f aca="false">IF(Calculator!$B$6="Yes",MIN(B320,'Tax Tables'!$B$31*'Tax Tables'!$B$32),0)</f>
        <v>0</v>
      </c>
      <c r="E320" s="11" t="n">
        <f aca="false">D320*Calculator!$B$7</f>
        <v>0</v>
      </c>
      <c r="F320" s="11" t="n">
        <f aca="false">D320*Calculator!$B$8</f>
        <v>0</v>
      </c>
      <c r="G320" s="11" t="n">
        <f aca="false">IF(B320&gt;0,'Tax Tables'!$B$32*MIN(MAX(B320/'Tax Tables'!$B$32*'Tax Tables'!$B$33,'Tax Tables'!$B$34),'Tax Tables'!$B$35),0)</f>
        <v>0</v>
      </c>
      <c r="H320" s="11" t="n">
        <f aca="false">Calculator!$B$5-A320-F320-G320</f>
        <v>246500</v>
      </c>
      <c r="I320" s="11" t="n">
        <f aca="false">'Tax Tables'!$B$22*(MAX(H320,0)-IF(Calculator!$B$10="Yes",MIN(MAX(H320,0),'Tax Tables'!$B$27)*'Tax Tables'!$B$28+MIN(MAX(MAX(H320,0)-'Tax Tables'!$B$27,0),'Tax Tables'!$B$29)*'Tax Tables'!$B$30,MIN(MAX(H320,0),'Tax Tables'!$B$23)*'Tax Tables'!$B$24+MIN(MAX(MAX(H320,0)-'Tax Tables'!$B$23,0),'Tax Tables'!$B$25)*'Tax Tables'!$B$26))*1-MIN('Tax Tables'!$B$22*(MAX(H320,0)-IF(Calculator!$B$10="Yes",MIN(MAX(H320,0),'Tax Tables'!$B$27)*'Tax Tables'!$B$28+MIN(MAX(MAX(H320,0)-'Tax Tables'!$B$27,0),'Tax Tables'!$B$29)*'Tax Tables'!$B$30,MIN(MAX(H320,0),'Tax Tables'!$B$23)*'Tax Tables'!$B$24+MIN(MAX(MAX(H320,0)-'Tax Tables'!$B$23,0),'Tax Tables'!$B$25)*'Tax Tables'!$B$26))*Calculator!$B$11,Calculator!$B$12)</f>
        <v>24480</v>
      </c>
      <c r="J320" s="11" t="n">
        <f aca="false">MAX(H320,0)-I320</f>
        <v>222020</v>
      </c>
      <c r="K320" s="11" t="n">
        <f aca="false">MIN(IF(A320&gt;0,Calculator!$B$13,0)+E320+Calculator!$B$14,'Tax Tables'!$B$36)</f>
        <v>1000</v>
      </c>
      <c r="L320" s="11" t="n">
        <f aca="false">MAX(A320-K320,0)</f>
        <v>152500</v>
      </c>
      <c r="M320" s="11" t="n">
        <f aca="false">SUMPRODUCT((L320&gt;'Tax Tables'!$A$5:$A$17)*(L320-'Tax Tables'!$A$5:$A$17)*'Tax Tables'!$C$5:$C$17)</f>
        <v>12825</v>
      </c>
      <c r="N320" s="11" t="n">
        <f aca="false">IF(H320&lt;0,-1E+099,A320-E320-M320+J320+(E320+F320)*Calculator!$B$9)</f>
        <v>362695</v>
      </c>
      <c r="O320" s="2"/>
      <c r="P320" s="11" t="n">
        <f aca="false">307*$B$3</f>
        <v>153500</v>
      </c>
      <c r="Q320" s="11" t="n">
        <f aca="false">MIN(P320,'Tax Tables'!$B$31*'Tax Tables'!$B$32)</f>
        <v>96000</v>
      </c>
      <c r="R320" s="11" t="n">
        <f aca="false">P320-Q320</f>
        <v>57500</v>
      </c>
      <c r="S320" s="11" t="n">
        <f aca="false">IF(Calculator!$B$6="Yes",MIN(Q320,'Tax Tables'!$B$31*'Tax Tables'!$B$32),0)</f>
        <v>96000</v>
      </c>
      <c r="T320" s="11" t="n">
        <f aca="false">S320*Calculator!$B$7</f>
        <v>19200</v>
      </c>
      <c r="U320" s="11" t="n">
        <f aca="false">S320*Calculator!$B$8</f>
        <v>16320</v>
      </c>
      <c r="V320" s="11" t="n">
        <f aca="false">IF(Q320&gt;0,'Tax Tables'!$B$32*MIN(MAX(Q320/'Tax Tables'!$B$32*'Tax Tables'!$B$33,'Tax Tables'!$B$34),'Tax Tables'!$B$35),0)</f>
        <v>135</v>
      </c>
      <c r="W320" s="11" t="n">
        <f aca="false">Calculator!$B$5-P320-U320-V320</f>
        <v>230045</v>
      </c>
      <c r="X320" s="11" t="n">
        <f aca="false">'Tax Tables'!$B$22*(MAX(W320,0)-IF(Calculator!$B$10="Yes",MIN(MAX(W320,0),'Tax Tables'!$B$27)*'Tax Tables'!$B$28+MIN(MAX(MAX(W320,0)-'Tax Tables'!$B$27,0),'Tax Tables'!$B$29)*'Tax Tables'!$B$30,MIN(MAX(W320,0),'Tax Tables'!$B$23)*'Tax Tables'!$B$24+MIN(MAX(MAX(W320,0)-'Tax Tables'!$B$23,0),'Tax Tables'!$B$25)*'Tax Tables'!$B$26))*1-MIN('Tax Tables'!$B$22*(MAX(W320,0)-IF(Calculator!$B$10="Yes",MIN(MAX(W320,0),'Tax Tables'!$B$27)*'Tax Tables'!$B$28+MIN(MAX(MAX(W320,0)-'Tax Tables'!$B$27,0),'Tax Tables'!$B$29)*'Tax Tables'!$B$30,MIN(MAX(W320,0),'Tax Tables'!$B$23)*'Tax Tables'!$B$24+MIN(MAX(MAX(W320,0)-'Tax Tables'!$B$23,0),'Tax Tables'!$B$25)*'Tax Tables'!$B$26))*Calculator!$B$11,Calculator!$B$12)</f>
        <v>21682.65</v>
      </c>
      <c r="Y320" s="11" t="n">
        <f aca="false">MAX(W320,0)-X320</f>
        <v>208362.35</v>
      </c>
      <c r="Z320" s="11" t="n">
        <f aca="false">MIN(IF(P320&gt;0,Calculator!$B$13,0)+T320+Calculator!$B$14,'Tax Tables'!$B$36)</f>
        <v>20200</v>
      </c>
      <c r="AA320" s="11" t="n">
        <f aca="false">MAX(P320-Z320,0)</f>
        <v>133300</v>
      </c>
      <c r="AB320" s="11" t="n">
        <f aca="false">SUMPRODUCT((AA320&gt;'Tax Tables'!$A$5:$A$17)*(AA320-'Tax Tables'!$A$5:$A$17)*'Tax Tables'!$C$5:$C$17)</f>
        <v>9945</v>
      </c>
      <c r="AC320" s="11" t="n">
        <f aca="false">IF(W320&lt;0,-1E+099,P320-T320-AB320+Y320+(T320+U320)*Calculator!$B$9)</f>
        <v>368237.35</v>
      </c>
    </row>
    <row r="321" customFormat="false" ht="15" hidden="false" customHeight="false" outlineLevel="0" collapsed="false">
      <c r="A321" s="11" t="n">
        <f aca="false">308*$B$3</f>
        <v>154000</v>
      </c>
      <c r="B321" s="11" t="n">
        <f aca="false">0</f>
        <v>0</v>
      </c>
      <c r="C321" s="11" t="n">
        <f aca="false">A321-B321</f>
        <v>154000</v>
      </c>
      <c r="D321" s="11" t="n">
        <f aca="false">IF(Calculator!$B$6="Yes",MIN(B321,'Tax Tables'!$B$31*'Tax Tables'!$B$32),0)</f>
        <v>0</v>
      </c>
      <c r="E321" s="11" t="n">
        <f aca="false">D321*Calculator!$B$7</f>
        <v>0</v>
      </c>
      <c r="F321" s="11" t="n">
        <f aca="false">D321*Calculator!$B$8</f>
        <v>0</v>
      </c>
      <c r="G321" s="11" t="n">
        <f aca="false">IF(B321&gt;0,'Tax Tables'!$B$32*MIN(MAX(B321/'Tax Tables'!$B$32*'Tax Tables'!$B$33,'Tax Tables'!$B$34),'Tax Tables'!$B$35),0)</f>
        <v>0</v>
      </c>
      <c r="H321" s="11" t="n">
        <f aca="false">Calculator!$B$5-A321-F321-G321</f>
        <v>246000</v>
      </c>
      <c r="I321" s="11" t="n">
        <f aca="false">'Tax Tables'!$B$22*(MAX(H321,0)-IF(Calculator!$B$10="Yes",MIN(MAX(H321,0),'Tax Tables'!$B$27)*'Tax Tables'!$B$28+MIN(MAX(MAX(H321,0)-'Tax Tables'!$B$27,0),'Tax Tables'!$B$29)*'Tax Tables'!$B$30,MIN(MAX(H321,0),'Tax Tables'!$B$23)*'Tax Tables'!$B$24+MIN(MAX(MAX(H321,0)-'Tax Tables'!$B$23,0),'Tax Tables'!$B$25)*'Tax Tables'!$B$26))*1-MIN('Tax Tables'!$B$22*(MAX(H321,0)-IF(Calculator!$B$10="Yes",MIN(MAX(H321,0),'Tax Tables'!$B$27)*'Tax Tables'!$B$28+MIN(MAX(MAX(H321,0)-'Tax Tables'!$B$27,0),'Tax Tables'!$B$29)*'Tax Tables'!$B$30,MIN(MAX(H321,0),'Tax Tables'!$B$23)*'Tax Tables'!$B$24+MIN(MAX(MAX(H321,0)-'Tax Tables'!$B$23,0),'Tax Tables'!$B$25)*'Tax Tables'!$B$26))*Calculator!$B$11,Calculator!$B$12)</f>
        <v>24395</v>
      </c>
      <c r="J321" s="11" t="n">
        <f aca="false">MAX(H321,0)-I321</f>
        <v>221605</v>
      </c>
      <c r="K321" s="11" t="n">
        <f aca="false">MIN(IF(A321&gt;0,Calculator!$B$13,0)+E321+Calculator!$B$14,'Tax Tables'!$B$36)</f>
        <v>1000</v>
      </c>
      <c r="L321" s="11" t="n">
        <f aca="false">MAX(A321-K321,0)</f>
        <v>153000</v>
      </c>
      <c r="M321" s="11" t="n">
        <f aca="false">SUMPRODUCT((L321&gt;'Tax Tables'!$A$5:$A$17)*(L321-'Tax Tables'!$A$5:$A$17)*'Tax Tables'!$C$5:$C$17)</f>
        <v>12900</v>
      </c>
      <c r="N321" s="11" t="n">
        <f aca="false">IF(H321&lt;0,-1E+099,A321-E321-M321+J321+(E321+F321)*Calculator!$B$9)</f>
        <v>362705</v>
      </c>
      <c r="O321" s="2"/>
      <c r="P321" s="11" t="n">
        <f aca="false">308*$B$3</f>
        <v>154000</v>
      </c>
      <c r="Q321" s="11" t="n">
        <f aca="false">MIN(P321,'Tax Tables'!$B$31*'Tax Tables'!$B$32)</f>
        <v>96000</v>
      </c>
      <c r="R321" s="11" t="n">
        <f aca="false">P321-Q321</f>
        <v>58000</v>
      </c>
      <c r="S321" s="11" t="n">
        <f aca="false">IF(Calculator!$B$6="Yes",MIN(Q321,'Tax Tables'!$B$31*'Tax Tables'!$B$32),0)</f>
        <v>96000</v>
      </c>
      <c r="T321" s="11" t="n">
        <f aca="false">S321*Calculator!$B$7</f>
        <v>19200</v>
      </c>
      <c r="U321" s="11" t="n">
        <f aca="false">S321*Calculator!$B$8</f>
        <v>16320</v>
      </c>
      <c r="V321" s="11" t="n">
        <f aca="false">IF(Q321&gt;0,'Tax Tables'!$B$32*MIN(MAX(Q321/'Tax Tables'!$B$32*'Tax Tables'!$B$33,'Tax Tables'!$B$34),'Tax Tables'!$B$35),0)</f>
        <v>135</v>
      </c>
      <c r="W321" s="11" t="n">
        <f aca="false">Calculator!$B$5-P321-U321-V321</f>
        <v>229545</v>
      </c>
      <c r="X321" s="11" t="n">
        <f aca="false">'Tax Tables'!$B$22*(MAX(W321,0)-IF(Calculator!$B$10="Yes",MIN(MAX(W321,0),'Tax Tables'!$B$27)*'Tax Tables'!$B$28+MIN(MAX(MAX(W321,0)-'Tax Tables'!$B$27,0),'Tax Tables'!$B$29)*'Tax Tables'!$B$30,MIN(MAX(W321,0),'Tax Tables'!$B$23)*'Tax Tables'!$B$24+MIN(MAX(MAX(W321,0)-'Tax Tables'!$B$23,0),'Tax Tables'!$B$25)*'Tax Tables'!$B$26))*1-MIN('Tax Tables'!$B$22*(MAX(W321,0)-IF(Calculator!$B$10="Yes",MIN(MAX(W321,0),'Tax Tables'!$B$27)*'Tax Tables'!$B$28+MIN(MAX(MAX(W321,0)-'Tax Tables'!$B$27,0),'Tax Tables'!$B$29)*'Tax Tables'!$B$30,MIN(MAX(W321,0),'Tax Tables'!$B$23)*'Tax Tables'!$B$24+MIN(MAX(MAX(W321,0)-'Tax Tables'!$B$23,0),'Tax Tables'!$B$25)*'Tax Tables'!$B$26))*Calculator!$B$11,Calculator!$B$12)</f>
        <v>21597.65</v>
      </c>
      <c r="Y321" s="11" t="n">
        <f aca="false">MAX(W321,0)-X321</f>
        <v>207947.35</v>
      </c>
      <c r="Z321" s="11" t="n">
        <f aca="false">MIN(IF(P321&gt;0,Calculator!$B$13,0)+T321+Calculator!$B$14,'Tax Tables'!$B$36)</f>
        <v>20200</v>
      </c>
      <c r="AA321" s="11" t="n">
        <f aca="false">MAX(P321-Z321,0)</f>
        <v>133800</v>
      </c>
      <c r="AB321" s="11" t="n">
        <f aca="false">SUMPRODUCT((AA321&gt;'Tax Tables'!$A$5:$A$17)*(AA321-'Tax Tables'!$A$5:$A$17)*'Tax Tables'!$C$5:$C$17)</f>
        <v>10020</v>
      </c>
      <c r="AC321" s="11" t="n">
        <f aca="false">IF(W321&lt;0,-1E+099,P321-T321-AB321+Y321+(T321+U321)*Calculator!$B$9)</f>
        <v>368247.35</v>
      </c>
    </row>
    <row r="322" customFormat="false" ht="15" hidden="false" customHeight="false" outlineLevel="0" collapsed="false">
      <c r="A322" s="11" t="n">
        <f aca="false">309*$B$3</f>
        <v>154500</v>
      </c>
      <c r="B322" s="11" t="n">
        <f aca="false">0</f>
        <v>0</v>
      </c>
      <c r="C322" s="11" t="n">
        <f aca="false">A322-B322</f>
        <v>154500</v>
      </c>
      <c r="D322" s="11" t="n">
        <f aca="false">IF(Calculator!$B$6="Yes",MIN(B322,'Tax Tables'!$B$31*'Tax Tables'!$B$32),0)</f>
        <v>0</v>
      </c>
      <c r="E322" s="11" t="n">
        <f aca="false">D322*Calculator!$B$7</f>
        <v>0</v>
      </c>
      <c r="F322" s="11" t="n">
        <f aca="false">D322*Calculator!$B$8</f>
        <v>0</v>
      </c>
      <c r="G322" s="11" t="n">
        <f aca="false">IF(B322&gt;0,'Tax Tables'!$B$32*MIN(MAX(B322/'Tax Tables'!$B$32*'Tax Tables'!$B$33,'Tax Tables'!$B$34),'Tax Tables'!$B$35),0)</f>
        <v>0</v>
      </c>
      <c r="H322" s="11" t="n">
        <f aca="false">Calculator!$B$5-A322-F322-G322</f>
        <v>245500</v>
      </c>
      <c r="I322" s="11" t="n">
        <f aca="false">'Tax Tables'!$B$22*(MAX(H322,0)-IF(Calculator!$B$10="Yes",MIN(MAX(H322,0),'Tax Tables'!$B$27)*'Tax Tables'!$B$28+MIN(MAX(MAX(H322,0)-'Tax Tables'!$B$27,0),'Tax Tables'!$B$29)*'Tax Tables'!$B$30,MIN(MAX(H322,0),'Tax Tables'!$B$23)*'Tax Tables'!$B$24+MIN(MAX(MAX(H322,0)-'Tax Tables'!$B$23,0),'Tax Tables'!$B$25)*'Tax Tables'!$B$26))*1-MIN('Tax Tables'!$B$22*(MAX(H322,0)-IF(Calculator!$B$10="Yes",MIN(MAX(H322,0),'Tax Tables'!$B$27)*'Tax Tables'!$B$28+MIN(MAX(MAX(H322,0)-'Tax Tables'!$B$27,0),'Tax Tables'!$B$29)*'Tax Tables'!$B$30,MIN(MAX(H322,0),'Tax Tables'!$B$23)*'Tax Tables'!$B$24+MIN(MAX(MAX(H322,0)-'Tax Tables'!$B$23,0),'Tax Tables'!$B$25)*'Tax Tables'!$B$26))*Calculator!$B$11,Calculator!$B$12)</f>
        <v>24310</v>
      </c>
      <c r="J322" s="11" t="n">
        <f aca="false">MAX(H322,0)-I322</f>
        <v>221190</v>
      </c>
      <c r="K322" s="11" t="n">
        <f aca="false">MIN(IF(A322&gt;0,Calculator!$B$13,0)+E322+Calculator!$B$14,'Tax Tables'!$B$36)</f>
        <v>1000</v>
      </c>
      <c r="L322" s="11" t="n">
        <f aca="false">MAX(A322-K322,0)</f>
        <v>153500</v>
      </c>
      <c r="M322" s="11" t="n">
        <f aca="false">SUMPRODUCT((L322&gt;'Tax Tables'!$A$5:$A$17)*(L322-'Tax Tables'!$A$5:$A$17)*'Tax Tables'!$C$5:$C$17)</f>
        <v>12975</v>
      </c>
      <c r="N322" s="11" t="n">
        <f aca="false">IF(H322&lt;0,-1E+099,A322-E322-M322+J322+(E322+F322)*Calculator!$B$9)</f>
        <v>362715</v>
      </c>
      <c r="O322" s="2"/>
      <c r="P322" s="11" t="n">
        <f aca="false">309*$B$3</f>
        <v>154500</v>
      </c>
      <c r="Q322" s="11" t="n">
        <f aca="false">MIN(P322,'Tax Tables'!$B$31*'Tax Tables'!$B$32)</f>
        <v>96000</v>
      </c>
      <c r="R322" s="11" t="n">
        <f aca="false">P322-Q322</f>
        <v>58500</v>
      </c>
      <c r="S322" s="11" t="n">
        <f aca="false">IF(Calculator!$B$6="Yes",MIN(Q322,'Tax Tables'!$B$31*'Tax Tables'!$B$32),0)</f>
        <v>96000</v>
      </c>
      <c r="T322" s="11" t="n">
        <f aca="false">S322*Calculator!$B$7</f>
        <v>19200</v>
      </c>
      <c r="U322" s="11" t="n">
        <f aca="false">S322*Calculator!$B$8</f>
        <v>16320</v>
      </c>
      <c r="V322" s="11" t="n">
        <f aca="false">IF(Q322&gt;0,'Tax Tables'!$B$32*MIN(MAX(Q322/'Tax Tables'!$B$32*'Tax Tables'!$B$33,'Tax Tables'!$B$34),'Tax Tables'!$B$35),0)</f>
        <v>135</v>
      </c>
      <c r="W322" s="11" t="n">
        <f aca="false">Calculator!$B$5-P322-U322-V322</f>
        <v>229045</v>
      </c>
      <c r="X322" s="11" t="n">
        <f aca="false">'Tax Tables'!$B$22*(MAX(W322,0)-IF(Calculator!$B$10="Yes",MIN(MAX(W322,0),'Tax Tables'!$B$27)*'Tax Tables'!$B$28+MIN(MAX(MAX(W322,0)-'Tax Tables'!$B$27,0),'Tax Tables'!$B$29)*'Tax Tables'!$B$30,MIN(MAX(W322,0),'Tax Tables'!$B$23)*'Tax Tables'!$B$24+MIN(MAX(MAX(W322,0)-'Tax Tables'!$B$23,0),'Tax Tables'!$B$25)*'Tax Tables'!$B$26))*1-MIN('Tax Tables'!$B$22*(MAX(W322,0)-IF(Calculator!$B$10="Yes",MIN(MAX(W322,0),'Tax Tables'!$B$27)*'Tax Tables'!$B$28+MIN(MAX(MAX(W322,0)-'Tax Tables'!$B$27,0),'Tax Tables'!$B$29)*'Tax Tables'!$B$30,MIN(MAX(W322,0),'Tax Tables'!$B$23)*'Tax Tables'!$B$24+MIN(MAX(MAX(W322,0)-'Tax Tables'!$B$23,0),'Tax Tables'!$B$25)*'Tax Tables'!$B$26))*Calculator!$B$11,Calculator!$B$12)</f>
        <v>21512.65</v>
      </c>
      <c r="Y322" s="11" t="n">
        <f aca="false">MAX(W322,0)-X322</f>
        <v>207532.35</v>
      </c>
      <c r="Z322" s="11" t="n">
        <f aca="false">MIN(IF(P322&gt;0,Calculator!$B$13,0)+T322+Calculator!$B$14,'Tax Tables'!$B$36)</f>
        <v>20200</v>
      </c>
      <c r="AA322" s="11" t="n">
        <f aca="false">MAX(P322-Z322,0)</f>
        <v>134300</v>
      </c>
      <c r="AB322" s="11" t="n">
        <f aca="false">SUMPRODUCT((AA322&gt;'Tax Tables'!$A$5:$A$17)*(AA322-'Tax Tables'!$A$5:$A$17)*'Tax Tables'!$C$5:$C$17)</f>
        <v>10095</v>
      </c>
      <c r="AC322" s="11" t="n">
        <f aca="false">IF(W322&lt;0,-1E+099,P322-T322-AB322+Y322+(T322+U322)*Calculator!$B$9)</f>
        <v>368257.35</v>
      </c>
    </row>
    <row r="323" customFormat="false" ht="15" hidden="false" customHeight="false" outlineLevel="0" collapsed="false">
      <c r="A323" s="11" t="n">
        <f aca="false">310*$B$3</f>
        <v>155000</v>
      </c>
      <c r="B323" s="11" t="n">
        <f aca="false">0</f>
        <v>0</v>
      </c>
      <c r="C323" s="11" t="n">
        <f aca="false">A323-B323</f>
        <v>155000</v>
      </c>
      <c r="D323" s="11" t="n">
        <f aca="false">IF(Calculator!$B$6="Yes",MIN(B323,'Tax Tables'!$B$31*'Tax Tables'!$B$32),0)</f>
        <v>0</v>
      </c>
      <c r="E323" s="11" t="n">
        <f aca="false">D323*Calculator!$B$7</f>
        <v>0</v>
      </c>
      <c r="F323" s="11" t="n">
        <f aca="false">D323*Calculator!$B$8</f>
        <v>0</v>
      </c>
      <c r="G323" s="11" t="n">
        <f aca="false">IF(B323&gt;0,'Tax Tables'!$B$32*MIN(MAX(B323/'Tax Tables'!$B$32*'Tax Tables'!$B$33,'Tax Tables'!$B$34),'Tax Tables'!$B$35),0)</f>
        <v>0</v>
      </c>
      <c r="H323" s="11" t="n">
        <f aca="false">Calculator!$B$5-A323-F323-G323</f>
        <v>245000</v>
      </c>
      <c r="I323" s="11" t="n">
        <f aca="false">'Tax Tables'!$B$22*(MAX(H323,0)-IF(Calculator!$B$10="Yes",MIN(MAX(H323,0),'Tax Tables'!$B$27)*'Tax Tables'!$B$28+MIN(MAX(MAX(H323,0)-'Tax Tables'!$B$27,0),'Tax Tables'!$B$29)*'Tax Tables'!$B$30,MIN(MAX(H323,0),'Tax Tables'!$B$23)*'Tax Tables'!$B$24+MIN(MAX(MAX(H323,0)-'Tax Tables'!$B$23,0),'Tax Tables'!$B$25)*'Tax Tables'!$B$26))*1-MIN('Tax Tables'!$B$22*(MAX(H323,0)-IF(Calculator!$B$10="Yes",MIN(MAX(H323,0),'Tax Tables'!$B$27)*'Tax Tables'!$B$28+MIN(MAX(MAX(H323,0)-'Tax Tables'!$B$27,0),'Tax Tables'!$B$29)*'Tax Tables'!$B$30,MIN(MAX(H323,0),'Tax Tables'!$B$23)*'Tax Tables'!$B$24+MIN(MAX(MAX(H323,0)-'Tax Tables'!$B$23,0),'Tax Tables'!$B$25)*'Tax Tables'!$B$26))*Calculator!$B$11,Calculator!$B$12)</f>
        <v>24225</v>
      </c>
      <c r="J323" s="11" t="n">
        <f aca="false">MAX(H323,0)-I323</f>
        <v>220775</v>
      </c>
      <c r="K323" s="11" t="n">
        <f aca="false">MIN(IF(A323&gt;0,Calculator!$B$13,0)+E323+Calculator!$B$14,'Tax Tables'!$B$36)</f>
        <v>1000</v>
      </c>
      <c r="L323" s="11" t="n">
        <f aca="false">MAX(A323-K323,0)</f>
        <v>154000</v>
      </c>
      <c r="M323" s="11" t="n">
        <f aca="false">SUMPRODUCT((L323&gt;'Tax Tables'!$A$5:$A$17)*(L323-'Tax Tables'!$A$5:$A$17)*'Tax Tables'!$C$5:$C$17)</f>
        <v>13050</v>
      </c>
      <c r="N323" s="11" t="n">
        <f aca="false">IF(H323&lt;0,-1E+099,A323-E323-M323+J323+(E323+F323)*Calculator!$B$9)</f>
        <v>362725</v>
      </c>
      <c r="O323" s="2"/>
      <c r="P323" s="11" t="n">
        <f aca="false">310*$B$3</f>
        <v>155000</v>
      </c>
      <c r="Q323" s="11" t="n">
        <f aca="false">MIN(P323,'Tax Tables'!$B$31*'Tax Tables'!$B$32)</f>
        <v>96000</v>
      </c>
      <c r="R323" s="11" t="n">
        <f aca="false">P323-Q323</f>
        <v>59000</v>
      </c>
      <c r="S323" s="11" t="n">
        <f aca="false">IF(Calculator!$B$6="Yes",MIN(Q323,'Tax Tables'!$B$31*'Tax Tables'!$B$32),0)</f>
        <v>96000</v>
      </c>
      <c r="T323" s="11" t="n">
        <f aca="false">S323*Calculator!$B$7</f>
        <v>19200</v>
      </c>
      <c r="U323" s="11" t="n">
        <f aca="false">S323*Calculator!$B$8</f>
        <v>16320</v>
      </c>
      <c r="V323" s="11" t="n">
        <f aca="false">IF(Q323&gt;0,'Tax Tables'!$B$32*MIN(MAX(Q323/'Tax Tables'!$B$32*'Tax Tables'!$B$33,'Tax Tables'!$B$34),'Tax Tables'!$B$35),0)</f>
        <v>135</v>
      </c>
      <c r="W323" s="11" t="n">
        <f aca="false">Calculator!$B$5-P323-U323-V323</f>
        <v>228545</v>
      </c>
      <c r="X323" s="11" t="n">
        <f aca="false">'Tax Tables'!$B$22*(MAX(W323,0)-IF(Calculator!$B$10="Yes",MIN(MAX(W323,0),'Tax Tables'!$B$27)*'Tax Tables'!$B$28+MIN(MAX(MAX(W323,0)-'Tax Tables'!$B$27,0),'Tax Tables'!$B$29)*'Tax Tables'!$B$30,MIN(MAX(W323,0),'Tax Tables'!$B$23)*'Tax Tables'!$B$24+MIN(MAX(MAX(W323,0)-'Tax Tables'!$B$23,0),'Tax Tables'!$B$25)*'Tax Tables'!$B$26))*1-MIN('Tax Tables'!$B$22*(MAX(W323,0)-IF(Calculator!$B$10="Yes",MIN(MAX(W323,0),'Tax Tables'!$B$27)*'Tax Tables'!$B$28+MIN(MAX(MAX(W323,0)-'Tax Tables'!$B$27,0),'Tax Tables'!$B$29)*'Tax Tables'!$B$30,MIN(MAX(W323,0),'Tax Tables'!$B$23)*'Tax Tables'!$B$24+MIN(MAX(MAX(W323,0)-'Tax Tables'!$B$23,0),'Tax Tables'!$B$25)*'Tax Tables'!$B$26))*Calculator!$B$11,Calculator!$B$12)</f>
        <v>21427.65</v>
      </c>
      <c r="Y323" s="11" t="n">
        <f aca="false">MAX(W323,0)-X323</f>
        <v>207117.35</v>
      </c>
      <c r="Z323" s="11" t="n">
        <f aca="false">MIN(IF(P323&gt;0,Calculator!$B$13,0)+T323+Calculator!$B$14,'Tax Tables'!$B$36)</f>
        <v>20200</v>
      </c>
      <c r="AA323" s="11" t="n">
        <f aca="false">MAX(P323-Z323,0)</f>
        <v>134800</v>
      </c>
      <c r="AB323" s="11" t="n">
        <f aca="false">SUMPRODUCT((AA323&gt;'Tax Tables'!$A$5:$A$17)*(AA323-'Tax Tables'!$A$5:$A$17)*'Tax Tables'!$C$5:$C$17)</f>
        <v>10170</v>
      </c>
      <c r="AC323" s="11" t="n">
        <f aca="false">IF(W323&lt;0,-1E+099,P323-T323-AB323+Y323+(T323+U323)*Calculator!$B$9)</f>
        <v>368267.35</v>
      </c>
    </row>
    <row r="324" customFormat="false" ht="15" hidden="false" customHeight="false" outlineLevel="0" collapsed="false">
      <c r="A324" s="11" t="n">
        <f aca="false">311*$B$3</f>
        <v>155500</v>
      </c>
      <c r="B324" s="11" t="n">
        <f aca="false">0</f>
        <v>0</v>
      </c>
      <c r="C324" s="11" t="n">
        <f aca="false">A324-B324</f>
        <v>155500</v>
      </c>
      <c r="D324" s="11" t="n">
        <f aca="false">IF(Calculator!$B$6="Yes",MIN(B324,'Tax Tables'!$B$31*'Tax Tables'!$B$32),0)</f>
        <v>0</v>
      </c>
      <c r="E324" s="11" t="n">
        <f aca="false">D324*Calculator!$B$7</f>
        <v>0</v>
      </c>
      <c r="F324" s="11" t="n">
        <f aca="false">D324*Calculator!$B$8</f>
        <v>0</v>
      </c>
      <c r="G324" s="11" t="n">
        <f aca="false">IF(B324&gt;0,'Tax Tables'!$B$32*MIN(MAX(B324/'Tax Tables'!$B$32*'Tax Tables'!$B$33,'Tax Tables'!$B$34),'Tax Tables'!$B$35),0)</f>
        <v>0</v>
      </c>
      <c r="H324" s="11" t="n">
        <f aca="false">Calculator!$B$5-A324-F324-G324</f>
        <v>244500</v>
      </c>
      <c r="I324" s="11" t="n">
        <f aca="false">'Tax Tables'!$B$22*(MAX(H324,0)-IF(Calculator!$B$10="Yes",MIN(MAX(H324,0),'Tax Tables'!$B$27)*'Tax Tables'!$B$28+MIN(MAX(MAX(H324,0)-'Tax Tables'!$B$27,0),'Tax Tables'!$B$29)*'Tax Tables'!$B$30,MIN(MAX(H324,0),'Tax Tables'!$B$23)*'Tax Tables'!$B$24+MIN(MAX(MAX(H324,0)-'Tax Tables'!$B$23,0),'Tax Tables'!$B$25)*'Tax Tables'!$B$26))*1-MIN('Tax Tables'!$B$22*(MAX(H324,0)-IF(Calculator!$B$10="Yes",MIN(MAX(H324,0),'Tax Tables'!$B$27)*'Tax Tables'!$B$28+MIN(MAX(MAX(H324,0)-'Tax Tables'!$B$27,0),'Tax Tables'!$B$29)*'Tax Tables'!$B$30,MIN(MAX(H324,0),'Tax Tables'!$B$23)*'Tax Tables'!$B$24+MIN(MAX(MAX(H324,0)-'Tax Tables'!$B$23,0),'Tax Tables'!$B$25)*'Tax Tables'!$B$26))*Calculator!$B$11,Calculator!$B$12)</f>
        <v>24140</v>
      </c>
      <c r="J324" s="11" t="n">
        <f aca="false">MAX(H324,0)-I324</f>
        <v>220360</v>
      </c>
      <c r="K324" s="11" t="n">
        <f aca="false">MIN(IF(A324&gt;0,Calculator!$B$13,0)+E324+Calculator!$B$14,'Tax Tables'!$B$36)</f>
        <v>1000</v>
      </c>
      <c r="L324" s="11" t="n">
        <f aca="false">MAX(A324-K324,0)</f>
        <v>154500</v>
      </c>
      <c r="M324" s="11" t="n">
        <f aca="false">SUMPRODUCT((L324&gt;'Tax Tables'!$A$5:$A$17)*(L324-'Tax Tables'!$A$5:$A$17)*'Tax Tables'!$C$5:$C$17)</f>
        <v>13125</v>
      </c>
      <c r="N324" s="11" t="n">
        <f aca="false">IF(H324&lt;0,-1E+099,A324-E324-M324+J324+(E324+F324)*Calculator!$B$9)</f>
        <v>362735</v>
      </c>
      <c r="O324" s="2"/>
      <c r="P324" s="11" t="n">
        <f aca="false">311*$B$3</f>
        <v>155500</v>
      </c>
      <c r="Q324" s="11" t="n">
        <f aca="false">MIN(P324,'Tax Tables'!$B$31*'Tax Tables'!$B$32)</f>
        <v>96000</v>
      </c>
      <c r="R324" s="11" t="n">
        <f aca="false">P324-Q324</f>
        <v>59500</v>
      </c>
      <c r="S324" s="11" t="n">
        <f aca="false">IF(Calculator!$B$6="Yes",MIN(Q324,'Tax Tables'!$B$31*'Tax Tables'!$B$32),0)</f>
        <v>96000</v>
      </c>
      <c r="T324" s="11" t="n">
        <f aca="false">S324*Calculator!$B$7</f>
        <v>19200</v>
      </c>
      <c r="U324" s="11" t="n">
        <f aca="false">S324*Calculator!$B$8</f>
        <v>16320</v>
      </c>
      <c r="V324" s="11" t="n">
        <f aca="false">IF(Q324&gt;0,'Tax Tables'!$B$32*MIN(MAX(Q324/'Tax Tables'!$B$32*'Tax Tables'!$B$33,'Tax Tables'!$B$34),'Tax Tables'!$B$35),0)</f>
        <v>135</v>
      </c>
      <c r="W324" s="11" t="n">
        <f aca="false">Calculator!$B$5-P324-U324-V324</f>
        <v>228045</v>
      </c>
      <c r="X324" s="11" t="n">
        <f aca="false">'Tax Tables'!$B$22*(MAX(W324,0)-IF(Calculator!$B$10="Yes",MIN(MAX(W324,0),'Tax Tables'!$B$27)*'Tax Tables'!$B$28+MIN(MAX(MAX(W324,0)-'Tax Tables'!$B$27,0),'Tax Tables'!$B$29)*'Tax Tables'!$B$30,MIN(MAX(W324,0),'Tax Tables'!$B$23)*'Tax Tables'!$B$24+MIN(MAX(MAX(W324,0)-'Tax Tables'!$B$23,0),'Tax Tables'!$B$25)*'Tax Tables'!$B$26))*1-MIN('Tax Tables'!$B$22*(MAX(W324,0)-IF(Calculator!$B$10="Yes",MIN(MAX(W324,0),'Tax Tables'!$B$27)*'Tax Tables'!$B$28+MIN(MAX(MAX(W324,0)-'Tax Tables'!$B$27,0),'Tax Tables'!$B$29)*'Tax Tables'!$B$30,MIN(MAX(W324,0),'Tax Tables'!$B$23)*'Tax Tables'!$B$24+MIN(MAX(MAX(W324,0)-'Tax Tables'!$B$23,0),'Tax Tables'!$B$25)*'Tax Tables'!$B$26))*Calculator!$B$11,Calculator!$B$12)</f>
        <v>21342.65</v>
      </c>
      <c r="Y324" s="11" t="n">
        <f aca="false">MAX(W324,0)-X324</f>
        <v>206702.35</v>
      </c>
      <c r="Z324" s="11" t="n">
        <f aca="false">MIN(IF(P324&gt;0,Calculator!$B$13,0)+T324+Calculator!$B$14,'Tax Tables'!$B$36)</f>
        <v>20200</v>
      </c>
      <c r="AA324" s="11" t="n">
        <f aca="false">MAX(P324-Z324,0)</f>
        <v>135300</v>
      </c>
      <c r="AB324" s="11" t="n">
        <f aca="false">SUMPRODUCT((AA324&gt;'Tax Tables'!$A$5:$A$17)*(AA324-'Tax Tables'!$A$5:$A$17)*'Tax Tables'!$C$5:$C$17)</f>
        <v>10245</v>
      </c>
      <c r="AC324" s="11" t="n">
        <f aca="false">IF(W324&lt;0,-1E+099,P324-T324-AB324+Y324+(T324+U324)*Calculator!$B$9)</f>
        <v>368277.35</v>
      </c>
    </row>
    <row r="325" customFormat="false" ht="15" hidden="false" customHeight="false" outlineLevel="0" collapsed="false">
      <c r="A325" s="11" t="n">
        <f aca="false">312*$B$3</f>
        <v>156000</v>
      </c>
      <c r="B325" s="11" t="n">
        <f aca="false">0</f>
        <v>0</v>
      </c>
      <c r="C325" s="11" t="n">
        <f aca="false">A325-B325</f>
        <v>156000</v>
      </c>
      <c r="D325" s="11" t="n">
        <f aca="false">IF(Calculator!$B$6="Yes",MIN(B325,'Tax Tables'!$B$31*'Tax Tables'!$B$32),0)</f>
        <v>0</v>
      </c>
      <c r="E325" s="11" t="n">
        <f aca="false">D325*Calculator!$B$7</f>
        <v>0</v>
      </c>
      <c r="F325" s="11" t="n">
        <f aca="false">D325*Calculator!$B$8</f>
        <v>0</v>
      </c>
      <c r="G325" s="11" t="n">
        <f aca="false">IF(B325&gt;0,'Tax Tables'!$B$32*MIN(MAX(B325/'Tax Tables'!$B$32*'Tax Tables'!$B$33,'Tax Tables'!$B$34),'Tax Tables'!$B$35),0)</f>
        <v>0</v>
      </c>
      <c r="H325" s="11" t="n">
        <f aca="false">Calculator!$B$5-A325-F325-G325</f>
        <v>244000</v>
      </c>
      <c r="I325" s="11" t="n">
        <f aca="false">'Tax Tables'!$B$22*(MAX(H325,0)-IF(Calculator!$B$10="Yes",MIN(MAX(H325,0),'Tax Tables'!$B$27)*'Tax Tables'!$B$28+MIN(MAX(MAX(H325,0)-'Tax Tables'!$B$27,0),'Tax Tables'!$B$29)*'Tax Tables'!$B$30,MIN(MAX(H325,0),'Tax Tables'!$B$23)*'Tax Tables'!$B$24+MIN(MAX(MAX(H325,0)-'Tax Tables'!$B$23,0),'Tax Tables'!$B$25)*'Tax Tables'!$B$26))*1-MIN('Tax Tables'!$B$22*(MAX(H325,0)-IF(Calculator!$B$10="Yes",MIN(MAX(H325,0),'Tax Tables'!$B$27)*'Tax Tables'!$B$28+MIN(MAX(MAX(H325,0)-'Tax Tables'!$B$27,0),'Tax Tables'!$B$29)*'Tax Tables'!$B$30,MIN(MAX(H325,0),'Tax Tables'!$B$23)*'Tax Tables'!$B$24+MIN(MAX(MAX(H325,0)-'Tax Tables'!$B$23,0),'Tax Tables'!$B$25)*'Tax Tables'!$B$26))*Calculator!$B$11,Calculator!$B$12)</f>
        <v>24055</v>
      </c>
      <c r="J325" s="11" t="n">
        <f aca="false">MAX(H325,0)-I325</f>
        <v>219945</v>
      </c>
      <c r="K325" s="11" t="n">
        <f aca="false">MIN(IF(A325&gt;0,Calculator!$B$13,0)+E325+Calculator!$B$14,'Tax Tables'!$B$36)</f>
        <v>1000</v>
      </c>
      <c r="L325" s="11" t="n">
        <f aca="false">MAX(A325-K325,0)</f>
        <v>155000</v>
      </c>
      <c r="M325" s="11" t="n">
        <f aca="false">SUMPRODUCT((L325&gt;'Tax Tables'!$A$5:$A$17)*(L325-'Tax Tables'!$A$5:$A$17)*'Tax Tables'!$C$5:$C$17)</f>
        <v>13200</v>
      </c>
      <c r="N325" s="11" t="n">
        <f aca="false">IF(H325&lt;0,-1E+099,A325-E325-M325+J325+(E325+F325)*Calculator!$B$9)</f>
        <v>362745</v>
      </c>
      <c r="O325" s="2"/>
      <c r="P325" s="11" t="n">
        <f aca="false">312*$B$3</f>
        <v>156000</v>
      </c>
      <c r="Q325" s="11" t="n">
        <f aca="false">MIN(P325,'Tax Tables'!$B$31*'Tax Tables'!$B$32)</f>
        <v>96000</v>
      </c>
      <c r="R325" s="11" t="n">
        <f aca="false">P325-Q325</f>
        <v>60000</v>
      </c>
      <c r="S325" s="11" t="n">
        <f aca="false">IF(Calculator!$B$6="Yes",MIN(Q325,'Tax Tables'!$B$31*'Tax Tables'!$B$32),0)</f>
        <v>96000</v>
      </c>
      <c r="T325" s="11" t="n">
        <f aca="false">S325*Calculator!$B$7</f>
        <v>19200</v>
      </c>
      <c r="U325" s="11" t="n">
        <f aca="false">S325*Calculator!$B$8</f>
        <v>16320</v>
      </c>
      <c r="V325" s="11" t="n">
        <f aca="false">IF(Q325&gt;0,'Tax Tables'!$B$32*MIN(MAX(Q325/'Tax Tables'!$B$32*'Tax Tables'!$B$33,'Tax Tables'!$B$34),'Tax Tables'!$B$35),0)</f>
        <v>135</v>
      </c>
      <c r="W325" s="11" t="n">
        <f aca="false">Calculator!$B$5-P325-U325-V325</f>
        <v>227545</v>
      </c>
      <c r="X325" s="11" t="n">
        <f aca="false">'Tax Tables'!$B$22*(MAX(W325,0)-IF(Calculator!$B$10="Yes",MIN(MAX(W325,0),'Tax Tables'!$B$27)*'Tax Tables'!$B$28+MIN(MAX(MAX(W325,0)-'Tax Tables'!$B$27,0),'Tax Tables'!$B$29)*'Tax Tables'!$B$30,MIN(MAX(W325,0),'Tax Tables'!$B$23)*'Tax Tables'!$B$24+MIN(MAX(MAX(W325,0)-'Tax Tables'!$B$23,0),'Tax Tables'!$B$25)*'Tax Tables'!$B$26))*1-MIN('Tax Tables'!$B$22*(MAX(W325,0)-IF(Calculator!$B$10="Yes",MIN(MAX(W325,0),'Tax Tables'!$B$27)*'Tax Tables'!$B$28+MIN(MAX(MAX(W325,0)-'Tax Tables'!$B$27,0),'Tax Tables'!$B$29)*'Tax Tables'!$B$30,MIN(MAX(W325,0),'Tax Tables'!$B$23)*'Tax Tables'!$B$24+MIN(MAX(MAX(W325,0)-'Tax Tables'!$B$23,0),'Tax Tables'!$B$25)*'Tax Tables'!$B$26))*Calculator!$B$11,Calculator!$B$12)</f>
        <v>21257.65</v>
      </c>
      <c r="Y325" s="11" t="n">
        <f aca="false">MAX(W325,0)-X325</f>
        <v>206287.35</v>
      </c>
      <c r="Z325" s="11" t="n">
        <f aca="false">MIN(IF(P325&gt;0,Calculator!$B$13,0)+T325+Calculator!$B$14,'Tax Tables'!$B$36)</f>
        <v>20200</v>
      </c>
      <c r="AA325" s="11" t="n">
        <f aca="false">MAX(P325-Z325,0)</f>
        <v>135800</v>
      </c>
      <c r="AB325" s="11" t="n">
        <f aca="false">SUMPRODUCT((AA325&gt;'Tax Tables'!$A$5:$A$17)*(AA325-'Tax Tables'!$A$5:$A$17)*'Tax Tables'!$C$5:$C$17)</f>
        <v>10320</v>
      </c>
      <c r="AC325" s="11" t="n">
        <f aca="false">IF(W325&lt;0,-1E+099,P325-T325-AB325+Y325+(T325+U325)*Calculator!$B$9)</f>
        <v>368287.35</v>
      </c>
    </row>
    <row r="326" customFormat="false" ht="15" hidden="false" customHeight="false" outlineLevel="0" collapsed="false">
      <c r="A326" s="11" t="n">
        <f aca="false">313*$B$3</f>
        <v>156500</v>
      </c>
      <c r="B326" s="11" t="n">
        <f aca="false">0</f>
        <v>0</v>
      </c>
      <c r="C326" s="11" t="n">
        <f aca="false">A326-B326</f>
        <v>156500</v>
      </c>
      <c r="D326" s="11" t="n">
        <f aca="false">IF(Calculator!$B$6="Yes",MIN(B326,'Tax Tables'!$B$31*'Tax Tables'!$B$32),0)</f>
        <v>0</v>
      </c>
      <c r="E326" s="11" t="n">
        <f aca="false">D326*Calculator!$B$7</f>
        <v>0</v>
      </c>
      <c r="F326" s="11" t="n">
        <f aca="false">D326*Calculator!$B$8</f>
        <v>0</v>
      </c>
      <c r="G326" s="11" t="n">
        <f aca="false">IF(B326&gt;0,'Tax Tables'!$B$32*MIN(MAX(B326/'Tax Tables'!$B$32*'Tax Tables'!$B$33,'Tax Tables'!$B$34),'Tax Tables'!$B$35),0)</f>
        <v>0</v>
      </c>
      <c r="H326" s="11" t="n">
        <f aca="false">Calculator!$B$5-A326-F326-G326</f>
        <v>243500</v>
      </c>
      <c r="I326" s="11" t="n">
        <f aca="false">'Tax Tables'!$B$22*(MAX(H326,0)-IF(Calculator!$B$10="Yes",MIN(MAX(H326,0),'Tax Tables'!$B$27)*'Tax Tables'!$B$28+MIN(MAX(MAX(H326,0)-'Tax Tables'!$B$27,0),'Tax Tables'!$B$29)*'Tax Tables'!$B$30,MIN(MAX(H326,0),'Tax Tables'!$B$23)*'Tax Tables'!$B$24+MIN(MAX(MAX(H326,0)-'Tax Tables'!$B$23,0),'Tax Tables'!$B$25)*'Tax Tables'!$B$26))*1-MIN('Tax Tables'!$B$22*(MAX(H326,0)-IF(Calculator!$B$10="Yes",MIN(MAX(H326,0),'Tax Tables'!$B$27)*'Tax Tables'!$B$28+MIN(MAX(MAX(H326,0)-'Tax Tables'!$B$27,0),'Tax Tables'!$B$29)*'Tax Tables'!$B$30,MIN(MAX(H326,0),'Tax Tables'!$B$23)*'Tax Tables'!$B$24+MIN(MAX(MAX(H326,0)-'Tax Tables'!$B$23,0),'Tax Tables'!$B$25)*'Tax Tables'!$B$26))*Calculator!$B$11,Calculator!$B$12)</f>
        <v>23970</v>
      </c>
      <c r="J326" s="11" t="n">
        <f aca="false">MAX(H326,0)-I326</f>
        <v>219530</v>
      </c>
      <c r="K326" s="11" t="n">
        <f aca="false">MIN(IF(A326&gt;0,Calculator!$B$13,0)+E326+Calculator!$B$14,'Tax Tables'!$B$36)</f>
        <v>1000</v>
      </c>
      <c r="L326" s="11" t="n">
        <f aca="false">MAX(A326-K326,0)</f>
        <v>155500</v>
      </c>
      <c r="M326" s="11" t="n">
        <f aca="false">SUMPRODUCT((L326&gt;'Tax Tables'!$A$5:$A$17)*(L326-'Tax Tables'!$A$5:$A$17)*'Tax Tables'!$C$5:$C$17)</f>
        <v>13275</v>
      </c>
      <c r="N326" s="11" t="n">
        <f aca="false">IF(H326&lt;0,-1E+099,A326-E326-M326+J326+(E326+F326)*Calculator!$B$9)</f>
        <v>362755</v>
      </c>
      <c r="O326" s="2"/>
      <c r="P326" s="11" t="n">
        <f aca="false">313*$B$3</f>
        <v>156500</v>
      </c>
      <c r="Q326" s="11" t="n">
        <f aca="false">MIN(P326,'Tax Tables'!$B$31*'Tax Tables'!$B$32)</f>
        <v>96000</v>
      </c>
      <c r="R326" s="11" t="n">
        <f aca="false">P326-Q326</f>
        <v>60500</v>
      </c>
      <c r="S326" s="11" t="n">
        <f aca="false">IF(Calculator!$B$6="Yes",MIN(Q326,'Tax Tables'!$B$31*'Tax Tables'!$B$32),0)</f>
        <v>96000</v>
      </c>
      <c r="T326" s="11" t="n">
        <f aca="false">S326*Calculator!$B$7</f>
        <v>19200</v>
      </c>
      <c r="U326" s="11" t="n">
        <f aca="false">S326*Calculator!$B$8</f>
        <v>16320</v>
      </c>
      <c r="V326" s="11" t="n">
        <f aca="false">IF(Q326&gt;0,'Tax Tables'!$B$32*MIN(MAX(Q326/'Tax Tables'!$B$32*'Tax Tables'!$B$33,'Tax Tables'!$B$34),'Tax Tables'!$B$35),0)</f>
        <v>135</v>
      </c>
      <c r="W326" s="11" t="n">
        <f aca="false">Calculator!$B$5-P326-U326-V326</f>
        <v>227045</v>
      </c>
      <c r="X326" s="11" t="n">
        <f aca="false">'Tax Tables'!$B$22*(MAX(W326,0)-IF(Calculator!$B$10="Yes",MIN(MAX(W326,0),'Tax Tables'!$B$27)*'Tax Tables'!$B$28+MIN(MAX(MAX(W326,0)-'Tax Tables'!$B$27,0),'Tax Tables'!$B$29)*'Tax Tables'!$B$30,MIN(MAX(W326,0),'Tax Tables'!$B$23)*'Tax Tables'!$B$24+MIN(MAX(MAX(W326,0)-'Tax Tables'!$B$23,0),'Tax Tables'!$B$25)*'Tax Tables'!$B$26))*1-MIN('Tax Tables'!$B$22*(MAX(W326,0)-IF(Calculator!$B$10="Yes",MIN(MAX(W326,0),'Tax Tables'!$B$27)*'Tax Tables'!$B$28+MIN(MAX(MAX(W326,0)-'Tax Tables'!$B$27,0),'Tax Tables'!$B$29)*'Tax Tables'!$B$30,MIN(MAX(W326,0),'Tax Tables'!$B$23)*'Tax Tables'!$B$24+MIN(MAX(MAX(W326,0)-'Tax Tables'!$B$23,0),'Tax Tables'!$B$25)*'Tax Tables'!$B$26))*Calculator!$B$11,Calculator!$B$12)</f>
        <v>21172.65</v>
      </c>
      <c r="Y326" s="11" t="n">
        <f aca="false">MAX(W326,0)-X326</f>
        <v>205872.35</v>
      </c>
      <c r="Z326" s="11" t="n">
        <f aca="false">MIN(IF(P326&gt;0,Calculator!$B$13,0)+T326+Calculator!$B$14,'Tax Tables'!$B$36)</f>
        <v>20200</v>
      </c>
      <c r="AA326" s="11" t="n">
        <f aca="false">MAX(P326-Z326,0)</f>
        <v>136300</v>
      </c>
      <c r="AB326" s="11" t="n">
        <f aca="false">SUMPRODUCT((AA326&gt;'Tax Tables'!$A$5:$A$17)*(AA326-'Tax Tables'!$A$5:$A$17)*'Tax Tables'!$C$5:$C$17)</f>
        <v>10395</v>
      </c>
      <c r="AC326" s="11" t="n">
        <f aca="false">IF(W326&lt;0,-1E+099,P326-T326-AB326+Y326+(T326+U326)*Calculator!$B$9)</f>
        <v>368297.35</v>
      </c>
    </row>
    <row r="327" customFormat="false" ht="15" hidden="false" customHeight="false" outlineLevel="0" collapsed="false">
      <c r="A327" s="11" t="n">
        <f aca="false">314*$B$3</f>
        <v>157000</v>
      </c>
      <c r="B327" s="11" t="n">
        <f aca="false">0</f>
        <v>0</v>
      </c>
      <c r="C327" s="11" t="n">
        <f aca="false">A327-B327</f>
        <v>157000</v>
      </c>
      <c r="D327" s="11" t="n">
        <f aca="false">IF(Calculator!$B$6="Yes",MIN(B327,'Tax Tables'!$B$31*'Tax Tables'!$B$32),0)</f>
        <v>0</v>
      </c>
      <c r="E327" s="11" t="n">
        <f aca="false">D327*Calculator!$B$7</f>
        <v>0</v>
      </c>
      <c r="F327" s="11" t="n">
        <f aca="false">D327*Calculator!$B$8</f>
        <v>0</v>
      </c>
      <c r="G327" s="11" t="n">
        <f aca="false">IF(B327&gt;0,'Tax Tables'!$B$32*MIN(MAX(B327/'Tax Tables'!$B$32*'Tax Tables'!$B$33,'Tax Tables'!$B$34),'Tax Tables'!$B$35),0)</f>
        <v>0</v>
      </c>
      <c r="H327" s="11" t="n">
        <f aca="false">Calculator!$B$5-A327-F327-G327</f>
        <v>243000</v>
      </c>
      <c r="I327" s="11" t="n">
        <f aca="false">'Tax Tables'!$B$22*(MAX(H327,0)-IF(Calculator!$B$10="Yes",MIN(MAX(H327,0),'Tax Tables'!$B$27)*'Tax Tables'!$B$28+MIN(MAX(MAX(H327,0)-'Tax Tables'!$B$27,0),'Tax Tables'!$B$29)*'Tax Tables'!$B$30,MIN(MAX(H327,0),'Tax Tables'!$B$23)*'Tax Tables'!$B$24+MIN(MAX(MAX(H327,0)-'Tax Tables'!$B$23,0),'Tax Tables'!$B$25)*'Tax Tables'!$B$26))*1-MIN('Tax Tables'!$B$22*(MAX(H327,0)-IF(Calculator!$B$10="Yes",MIN(MAX(H327,0),'Tax Tables'!$B$27)*'Tax Tables'!$B$28+MIN(MAX(MAX(H327,0)-'Tax Tables'!$B$27,0),'Tax Tables'!$B$29)*'Tax Tables'!$B$30,MIN(MAX(H327,0),'Tax Tables'!$B$23)*'Tax Tables'!$B$24+MIN(MAX(MAX(H327,0)-'Tax Tables'!$B$23,0),'Tax Tables'!$B$25)*'Tax Tables'!$B$26))*Calculator!$B$11,Calculator!$B$12)</f>
        <v>23885</v>
      </c>
      <c r="J327" s="11" t="n">
        <f aca="false">MAX(H327,0)-I327</f>
        <v>219115</v>
      </c>
      <c r="K327" s="11" t="n">
        <f aca="false">MIN(IF(A327&gt;0,Calculator!$B$13,0)+E327+Calculator!$B$14,'Tax Tables'!$B$36)</f>
        <v>1000</v>
      </c>
      <c r="L327" s="11" t="n">
        <f aca="false">MAX(A327-K327,0)</f>
        <v>156000</v>
      </c>
      <c r="M327" s="11" t="n">
        <f aca="false">SUMPRODUCT((L327&gt;'Tax Tables'!$A$5:$A$17)*(L327-'Tax Tables'!$A$5:$A$17)*'Tax Tables'!$C$5:$C$17)</f>
        <v>13350</v>
      </c>
      <c r="N327" s="11" t="n">
        <f aca="false">IF(H327&lt;0,-1E+099,A327-E327-M327+J327+(E327+F327)*Calculator!$B$9)</f>
        <v>362765</v>
      </c>
      <c r="O327" s="2"/>
      <c r="P327" s="11" t="n">
        <f aca="false">314*$B$3</f>
        <v>157000</v>
      </c>
      <c r="Q327" s="11" t="n">
        <f aca="false">MIN(P327,'Tax Tables'!$B$31*'Tax Tables'!$B$32)</f>
        <v>96000</v>
      </c>
      <c r="R327" s="11" t="n">
        <f aca="false">P327-Q327</f>
        <v>61000</v>
      </c>
      <c r="S327" s="11" t="n">
        <f aca="false">IF(Calculator!$B$6="Yes",MIN(Q327,'Tax Tables'!$B$31*'Tax Tables'!$B$32),0)</f>
        <v>96000</v>
      </c>
      <c r="T327" s="11" t="n">
        <f aca="false">S327*Calculator!$B$7</f>
        <v>19200</v>
      </c>
      <c r="U327" s="11" t="n">
        <f aca="false">S327*Calculator!$B$8</f>
        <v>16320</v>
      </c>
      <c r="V327" s="11" t="n">
        <f aca="false">IF(Q327&gt;0,'Tax Tables'!$B$32*MIN(MAX(Q327/'Tax Tables'!$B$32*'Tax Tables'!$B$33,'Tax Tables'!$B$34),'Tax Tables'!$B$35),0)</f>
        <v>135</v>
      </c>
      <c r="W327" s="11" t="n">
        <f aca="false">Calculator!$B$5-P327-U327-V327</f>
        <v>226545</v>
      </c>
      <c r="X327" s="11" t="n">
        <f aca="false">'Tax Tables'!$B$22*(MAX(W327,0)-IF(Calculator!$B$10="Yes",MIN(MAX(W327,0),'Tax Tables'!$B$27)*'Tax Tables'!$B$28+MIN(MAX(MAX(W327,0)-'Tax Tables'!$B$27,0),'Tax Tables'!$B$29)*'Tax Tables'!$B$30,MIN(MAX(W327,0),'Tax Tables'!$B$23)*'Tax Tables'!$B$24+MIN(MAX(MAX(W327,0)-'Tax Tables'!$B$23,0),'Tax Tables'!$B$25)*'Tax Tables'!$B$26))*1-MIN('Tax Tables'!$B$22*(MAX(W327,0)-IF(Calculator!$B$10="Yes",MIN(MAX(W327,0),'Tax Tables'!$B$27)*'Tax Tables'!$B$28+MIN(MAX(MAX(W327,0)-'Tax Tables'!$B$27,0),'Tax Tables'!$B$29)*'Tax Tables'!$B$30,MIN(MAX(W327,0),'Tax Tables'!$B$23)*'Tax Tables'!$B$24+MIN(MAX(MAX(W327,0)-'Tax Tables'!$B$23,0),'Tax Tables'!$B$25)*'Tax Tables'!$B$26))*Calculator!$B$11,Calculator!$B$12)</f>
        <v>21087.65</v>
      </c>
      <c r="Y327" s="11" t="n">
        <f aca="false">MAX(W327,0)-X327</f>
        <v>205457.35</v>
      </c>
      <c r="Z327" s="11" t="n">
        <f aca="false">MIN(IF(P327&gt;0,Calculator!$B$13,0)+T327+Calculator!$B$14,'Tax Tables'!$B$36)</f>
        <v>20200</v>
      </c>
      <c r="AA327" s="11" t="n">
        <f aca="false">MAX(P327-Z327,0)</f>
        <v>136800</v>
      </c>
      <c r="AB327" s="11" t="n">
        <f aca="false">SUMPRODUCT((AA327&gt;'Tax Tables'!$A$5:$A$17)*(AA327-'Tax Tables'!$A$5:$A$17)*'Tax Tables'!$C$5:$C$17)</f>
        <v>10470</v>
      </c>
      <c r="AC327" s="11" t="n">
        <f aca="false">IF(W327&lt;0,-1E+099,P327-T327-AB327+Y327+(T327+U327)*Calculator!$B$9)</f>
        <v>368307.35</v>
      </c>
    </row>
    <row r="328" customFormat="false" ht="15" hidden="false" customHeight="false" outlineLevel="0" collapsed="false">
      <c r="A328" s="11" t="n">
        <f aca="false">315*$B$3</f>
        <v>157500</v>
      </c>
      <c r="B328" s="11" t="n">
        <f aca="false">0</f>
        <v>0</v>
      </c>
      <c r="C328" s="11" t="n">
        <f aca="false">A328-B328</f>
        <v>157500</v>
      </c>
      <c r="D328" s="11" t="n">
        <f aca="false">IF(Calculator!$B$6="Yes",MIN(B328,'Tax Tables'!$B$31*'Tax Tables'!$B$32),0)</f>
        <v>0</v>
      </c>
      <c r="E328" s="11" t="n">
        <f aca="false">D328*Calculator!$B$7</f>
        <v>0</v>
      </c>
      <c r="F328" s="11" t="n">
        <f aca="false">D328*Calculator!$B$8</f>
        <v>0</v>
      </c>
      <c r="G328" s="11" t="n">
        <f aca="false">IF(B328&gt;0,'Tax Tables'!$B$32*MIN(MAX(B328/'Tax Tables'!$B$32*'Tax Tables'!$B$33,'Tax Tables'!$B$34),'Tax Tables'!$B$35),0)</f>
        <v>0</v>
      </c>
      <c r="H328" s="11" t="n">
        <f aca="false">Calculator!$B$5-A328-F328-G328</f>
        <v>242500</v>
      </c>
      <c r="I328" s="11" t="n">
        <f aca="false">'Tax Tables'!$B$22*(MAX(H328,0)-IF(Calculator!$B$10="Yes",MIN(MAX(H328,0),'Tax Tables'!$B$27)*'Tax Tables'!$B$28+MIN(MAX(MAX(H328,0)-'Tax Tables'!$B$27,0),'Tax Tables'!$B$29)*'Tax Tables'!$B$30,MIN(MAX(H328,0),'Tax Tables'!$B$23)*'Tax Tables'!$B$24+MIN(MAX(MAX(H328,0)-'Tax Tables'!$B$23,0),'Tax Tables'!$B$25)*'Tax Tables'!$B$26))*1-MIN('Tax Tables'!$B$22*(MAX(H328,0)-IF(Calculator!$B$10="Yes",MIN(MAX(H328,0),'Tax Tables'!$B$27)*'Tax Tables'!$B$28+MIN(MAX(MAX(H328,0)-'Tax Tables'!$B$27,0),'Tax Tables'!$B$29)*'Tax Tables'!$B$30,MIN(MAX(H328,0),'Tax Tables'!$B$23)*'Tax Tables'!$B$24+MIN(MAX(MAX(H328,0)-'Tax Tables'!$B$23,0),'Tax Tables'!$B$25)*'Tax Tables'!$B$26))*Calculator!$B$11,Calculator!$B$12)</f>
        <v>23800</v>
      </c>
      <c r="J328" s="11" t="n">
        <f aca="false">MAX(H328,0)-I328</f>
        <v>218700</v>
      </c>
      <c r="K328" s="11" t="n">
        <f aca="false">MIN(IF(A328&gt;0,Calculator!$B$13,0)+E328+Calculator!$B$14,'Tax Tables'!$B$36)</f>
        <v>1000</v>
      </c>
      <c r="L328" s="11" t="n">
        <f aca="false">MAX(A328-K328,0)</f>
        <v>156500</v>
      </c>
      <c r="M328" s="11" t="n">
        <f aca="false">SUMPRODUCT((L328&gt;'Tax Tables'!$A$5:$A$17)*(L328-'Tax Tables'!$A$5:$A$17)*'Tax Tables'!$C$5:$C$17)</f>
        <v>13425</v>
      </c>
      <c r="N328" s="11" t="n">
        <f aca="false">IF(H328&lt;0,-1E+099,A328-E328-M328+J328+(E328+F328)*Calculator!$B$9)</f>
        <v>362775</v>
      </c>
      <c r="O328" s="2"/>
      <c r="P328" s="11" t="n">
        <f aca="false">315*$B$3</f>
        <v>157500</v>
      </c>
      <c r="Q328" s="11" t="n">
        <f aca="false">MIN(P328,'Tax Tables'!$B$31*'Tax Tables'!$B$32)</f>
        <v>96000</v>
      </c>
      <c r="R328" s="11" t="n">
        <f aca="false">P328-Q328</f>
        <v>61500</v>
      </c>
      <c r="S328" s="11" t="n">
        <f aca="false">IF(Calculator!$B$6="Yes",MIN(Q328,'Tax Tables'!$B$31*'Tax Tables'!$B$32),0)</f>
        <v>96000</v>
      </c>
      <c r="T328" s="11" t="n">
        <f aca="false">S328*Calculator!$B$7</f>
        <v>19200</v>
      </c>
      <c r="U328" s="11" t="n">
        <f aca="false">S328*Calculator!$B$8</f>
        <v>16320</v>
      </c>
      <c r="V328" s="11" t="n">
        <f aca="false">IF(Q328&gt;0,'Tax Tables'!$B$32*MIN(MAX(Q328/'Tax Tables'!$B$32*'Tax Tables'!$B$33,'Tax Tables'!$B$34),'Tax Tables'!$B$35),0)</f>
        <v>135</v>
      </c>
      <c r="W328" s="11" t="n">
        <f aca="false">Calculator!$B$5-P328-U328-V328</f>
        <v>226045</v>
      </c>
      <c r="X328" s="11" t="n">
        <f aca="false">'Tax Tables'!$B$22*(MAX(W328,0)-IF(Calculator!$B$10="Yes",MIN(MAX(W328,0),'Tax Tables'!$B$27)*'Tax Tables'!$B$28+MIN(MAX(MAX(W328,0)-'Tax Tables'!$B$27,0),'Tax Tables'!$B$29)*'Tax Tables'!$B$30,MIN(MAX(W328,0),'Tax Tables'!$B$23)*'Tax Tables'!$B$24+MIN(MAX(MAX(W328,0)-'Tax Tables'!$B$23,0),'Tax Tables'!$B$25)*'Tax Tables'!$B$26))*1-MIN('Tax Tables'!$B$22*(MAX(W328,0)-IF(Calculator!$B$10="Yes",MIN(MAX(W328,0),'Tax Tables'!$B$27)*'Tax Tables'!$B$28+MIN(MAX(MAX(W328,0)-'Tax Tables'!$B$27,0),'Tax Tables'!$B$29)*'Tax Tables'!$B$30,MIN(MAX(W328,0),'Tax Tables'!$B$23)*'Tax Tables'!$B$24+MIN(MAX(MAX(W328,0)-'Tax Tables'!$B$23,0),'Tax Tables'!$B$25)*'Tax Tables'!$B$26))*Calculator!$B$11,Calculator!$B$12)</f>
        <v>21002.65</v>
      </c>
      <c r="Y328" s="11" t="n">
        <f aca="false">MAX(W328,0)-X328</f>
        <v>205042.35</v>
      </c>
      <c r="Z328" s="11" t="n">
        <f aca="false">MIN(IF(P328&gt;0,Calculator!$B$13,0)+T328+Calculator!$B$14,'Tax Tables'!$B$36)</f>
        <v>20200</v>
      </c>
      <c r="AA328" s="11" t="n">
        <f aca="false">MAX(P328-Z328,0)</f>
        <v>137300</v>
      </c>
      <c r="AB328" s="11" t="n">
        <f aca="false">SUMPRODUCT((AA328&gt;'Tax Tables'!$A$5:$A$17)*(AA328-'Tax Tables'!$A$5:$A$17)*'Tax Tables'!$C$5:$C$17)</f>
        <v>10545</v>
      </c>
      <c r="AC328" s="11" t="n">
        <f aca="false">IF(W328&lt;0,-1E+099,P328-T328-AB328+Y328+(T328+U328)*Calculator!$B$9)</f>
        <v>368317.35</v>
      </c>
    </row>
    <row r="329" customFormat="false" ht="15" hidden="false" customHeight="false" outlineLevel="0" collapsed="false">
      <c r="A329" s="11" t="n">
        <f aca="false">316*$B$3</f>
        <v>158000</v>
      </c>
      <c r="B329" s="11" t="n">
        <f aca="false">0</f>
        <v>0</v>
      </c>
      <c r="C329" s="11" t="n">
        <f aca="false">A329-B329</f>
        <v>158000</v>
      </c>
      <c r="D329" s="11" t="n">
        <f aca="false">IF(Calculator!$B$6="Yes",MIN(B329,'Tax Tables'!$B$31*'Tax Tables'!$B$32),0)</f>
        <v>0</v>
      </c>
      <c r="E329" s="11" t="n">
        <f aca="false">D329*Calculator!$B$7</f>
        <v>0</v>
      </c>
      <c r="F329" s="11" t="n">
        <f aca="false">D329*Calculator!$B$8</f>
        <v>0</v>
      </c>
      <c r="G329" s="11" t="n">
        <f aca="false">IF(B329&gt;0,'Tax Tables'!$B$32*MIN(MAX(B329/'Tax Tables'!$B$32*'Tax Tables'!$B$33,'Tax Tables'!$B$34),'Tax Tables'!$B$35),0)</f>
        <v>0</v>
      </c>
      <c r="H329" s="11" t="n">
        <f aca="false">Calculator!$B$5-A329-F329-G329</f>
        <v>242000</v>
      </c>
      <c r="I329" s="11" t="n">
        <f aca="false">'Tax Tables'!$B$22*(MAX(H329,0)-IF(Calculator!$B$10="Yes",MIN(MAX(H329,0),'Tax Tables'!$B$27)*'Tax Tables'!$B$28+MIN(MAX(MAX(H329,0)-'Tax Tables'!$B$27,0),'Tax Tables'!$B$29)*'Tax Tables'!$B$30,MIN(MAX(H329,0),'Tax Tables'!$B$23)*'Tax Tables'!$B$24+MIN(MAX(MAX(H329,0)-'Tax Tables'!$B$23,0),'Tax Tables'!$B$25)*'Tax Tables'!$B$26))*1-MIN('Tax Tables'!$B$22*(MAX(H329,0)-IF(Calculator!$B$10="Yes",MIN(MAX(H329,0),'Tax Tables'!$B$27)*'Tax Tables'!$B$28+MIN(MAX(MAX(H329,0)-'Tax Tables'!$B$27,0),'Tax Tables'!$B$29)*'Tax Tables'!$B$30,MIN(MAX(H329,0),'Tax Tables'!$B$23)*'Tax Tables'!$B$24+MIN(MAX(MAX(H329,0)-'Tax Tables'!$B$23,0),'Tax Tables'!$B$25)*'Tax Tables'!$B$26))*Calculator!$B$11,Calculator!$B$12)</f>
        <v>23715</v>
      </c>
      <c r="J329" s="11" t="n">
        <f aca="false">MAX(H329,0)-I329</f>
        <v>218285</v>
      </c>
      <c r="K329" s="11" t="n">
        <f aca="false">MIN(IF(A329&gt;0,Calculator!$B$13,0)+E329+Calculator!$B$14,'Tax Tables'!$B$36)</f>
        <v>1000</v>
      </c>
      <c r="L329" s="11" t="n">
        <f aca="false">MAX(A329-K329,0)</f>
        <v>157000</v>
      </c>
      <c r="M329" s="11" t="n">
        <f aca="false">SUMPRODUCT((L329&gt;'Tax Tables'!$A$5:$A$17)*(L329-'Tax Tables'!$A$5:$A$17)*'Tax Tables'!$C$5:$C$17)</f>
        <v>13500</v>
      </c>
      <c r="N329" s="11" t="n">
        <f aca="false">IF(H329&lt;0,-1E+099,A329-E329-M329+J329+(E329+F329)*Calculator!$B$9)</f>
        <v>362785</v>
      </c>
      <c r="O329" s="2"/>
      <c r="P329" s="11" t="n">
        <f aca="false">316*$B$3</f>
        <v>158000</v>
      </c>
      <c r="Q329" s="11" t="n">
        <f aca="false">MIN(P329,'Tax Tables'!$B$31*'Tax Tables'!$B$32)</f>
        <v>96000</v>
      </c>
      <c r="R329" s="11" t="n">
        <f aca="false">P329-Q329</f>
        <v>62000</v>
      </c>
      <c r="S329" s="11" t="n">
        <f aca="false">IF(Calculator!$B$6="Yes",MIN(Q329,'Tax Tables'!$B$31*'Tax Tables'!$B$32),0)</f>
        <v>96000</v>
      </c>
      <c r="T329" s="11" t="n">
        <f aca="false">S329*Calculator!$B$7</f>
        <v>19200</v>
      </c>
      <c r="U329" s="11" t="n">
        <f aca="false">S329*Calculator!$B$8</f>
        <v>16320</v>
      </c>
      <c r="V329" s="11" t="n">
        <f aca="false">IF(Q329&gt;0,'Tax Tables'!$B$32*MIN(MAX(Q329/'Tax Tables'!$B$32*'Tax Tables'!$B$33,'Tax Tables'!$B$34),'Tax Tables'!$B$35),0)</f>
        <v>135</v>
      </c>
      <c r="W329" s="11" t="n">
        <f aca="false">Calculator!$B$5-P329-U329-V329</f>
        <v>225545</v>
      </c>
      <c r="X329" s="11" t="n">
        <f aca="false">'Tax Tables'!$B$22*(MAX(W329,0)-IF(Calculator!$B$10="Yes",MIN(MAX(W329,0),'Tax Tables'!$B$27)*'Tax Tables'!$B$28+MIN(MAX(MAX(W329,0)-'Tax Tables'!$B$27,0),'Tax Tables'!$B$29)*'Tax Tables'!$B$30,MIN(MAX(W329,0),'Tax Tables'!$B$23)*'Tax Tables'!$B$24+MIN(MAX(MAX(W329,0)-'Tax Tables'!$B$23,0),'Tax Tables'!$B$25)*'Tax Tables'!$B$26))*1-MIN('Tax Tables'!$B$22*(MAX(W329,0)-IF(Calculator!$B$10="Yes",MIN(MAX(W329,0),'Tax Tables'!$B$27)*'Tax Tables'!$B$28+MIN(MAX(MAX(W329,0)-'Tax Tables'!$B$27,0),'Tax Tables'!$B$29)*'Tax Tables'!$B$30,MIN(MAX(W329,0),'Tax Tables'!$B$23)*'Tax Tables'!$B$24+MIN(MAX(MAX(W329,0)-'Tax Tables'!$B$23,0),'Tax Tables'!$B$25)*'Tax Tables'!$B$26))*Calculator!$B$11,Calculator!$B$12)</f>
        <v>20917.65</v>
      </c>
      <c r="Y329" s="11" t="n">
        <f aca="false">MAX(W329,0)-X329</f>
        <v>204627.35</v>
      </c>
      <c r="Z329" s="11" t="n">
        <f aca="false">MIN(IF(P329&gt;0,Calculator!$B$13,0)+T329+Calculator!$B$14,'Tax Tables'!$B$36)</f>
        <v>20200</v>
      </c>
      <c r="AA329" s="11" t="n">
        <f aca="false">MAX(P329-Z329,0)</f>
        <v>137800</v>
      </c>
      <c r="AB329" s="11" t="n">
        <f aca="false">SUMPRODUCT((AA329&gt;'Tax Tables'!$A$5:$A$17)*(AA329-'Tax Tables'!$A$5:$A$17)*'Tax Tables'!$C$5:$C$17)</f>
        <v>10620</v>
      </c>
      <c r="AC329" s="11" t="n">
        <f aca="false">IF(W329&lt;0,-1E+099,P329-T329-AB329+Y329+(T329+U329)*Calculator!$B$9)</f>
        <v>368327.35</v>
      </c>
    </row>
    <row r="330" customFormat="false" ht="15" hidden="false" customHeight="false" outlineLevel="0" collapsed="false">
      <c r="A330" s="11" t="n">
        <f aca="false">317*$B$3</f>
        <v>158500</v>
      </c>
      <c r="B330" s="11" t="n">
        <f aca="false">0</f>
        <v>0</v>
      </c>
      <c r="C330" s="11" t="n">
        <f aca="false">A330-B330</f>
        <v>158500</v>
      </c>
      <c r="D330" s="11" t="n">
        <f aca="false">IF(Calculator!$B$6="Yes",MIN(B330,'Tax Tables'!$B$31*'Tax Tables'!$B$32),0)</f>
        <v>0</v>
      </c>
      <c r="E330" s="11" t="n">
        <f aca="false">D330*Calculator!$B$7</f>
        <v>0</v>
      </c>
      <c r="F330" s="11" t="n">
        <f aca="false">D330*Calculator!$B$8</f>
        <v>0</v>
      </c>
      <c r="G330" s="11" t="n">
        <f aca="false">IF(B330&gt;0,'Tax Tables'!$B$32*MIN(MAX(B330/'Tax Tables'!$B$32*'Tax Tables'!$B$33,'Tax Tables'!$B$34),'Tax Tables'!$B$35),0)</f>
        <v>0</v>
      </c>
      <c r="H330" s="11" t="n">
        <f aca="false">Calculator!$B$5-A330-F330-G330</f>
        <v>241500</v>
      </c>
      <c r="I330" s="11" t="n">
        <f aca="false">'Tax Tables'!$B$22*(MAX(H330,0)-IF(Calculator!$B$10="Yes",MIN(MAX(H330,0),'Tax Tables'!$B$27)*'Tax Tables'!$B$28+MIN(MAX(MAX(H330,0)-'Tax Tables'!$B$27,0),'Tax Tables'!$B$29)*'Tax Tables'!$B$30,MIN(MAX(H330,0),'Tax Tables'!$B$23)*'Tax Tables'!$B$24+MIN(MAX(MAX(H330,0)-'Tax Tables'!$B$23,0),'Tax Tables'!$B$25)*'Tax Tables'!$B$26))*1-MIN('Tax Tables'!$B$22*(MAX(H330,0)-IF(Calculator!$B$10="Yes",MIN(MAX(H330,0),'Tax Tables'!$B$27)*'Tax Tables'!$B$28+MIN(MAX(MAX(H330,0)-'Tax Tables'!$B$27,0),'Tax Tables'!$B$29)*'Tax Tables'!$B$30,MIN(MAX(H330,0),'Tax Tables'!$B$23)*'Tax Tables'!$B$24+MIN(MAX(MAX(H330,0)-'Tax Tables'!$B$23,0),'Tax Tables'!$B$25)*'Tax Tables'!$B$26))*Calculator!$B$11,Calculator!$B$12)</f>
        <v>23630</v>
      </c>
      <c r="J330" s="11" t="n">
        <f aca="false">MAX(H330,0)-I330</f>
        <v>217870</v>
      </c>
      <c r="K330" s="11" t="n">
        <f aca="false">MIN(IF(A330&gt;0,Calculator!$B$13,0)+E330+Calculator!$B$14,'Tax Tables'!$B$36)</f>
        <v>1000</v>
      </c>
      <c r="L330" s="11" t="n">
        <f aca="false">MAX(A330-K330,0)</f>
        <v>157500</v>
      </c>
      <c r="M330" s="11" t="n">
        <f aca="false">SUMPRODUCT((L330&gt;'Tax Tables'!$A$5:$A$17)*(L330-'Tax Tables'!$A$5:$A$17)*'Tax Tables'!$C$5:$C$17)</f>
        <v>13575</v>
      </c>
      <c r="N330" s="11" t="n">
        <f aca="false">IF(H330&lt;0,-1E+099,A330-E330-M330+J330+(E330+F330)*Calculator!$B$9)</f>
        <v>362795</v>
      </c>
      <c r="O330" s="2"/>
      <c r="P330" s="11" t="n">
        <f aca="false">317*$B$3</f>
        <v>158500</v>
      </c>
      <c r="Q330" s="11" t="n">
        <f aca="false">MIN(P330,'Tax Tables'!$B$31*'Tax Tables'!$B$32)</f>
        <v>96000</v>
      </c>
      <c r="R330" s="11" t="n">
        <f aca="false">P330-Q330</f>
        <v>62500</v>
      </c>
      <c r="S330" s="11" t="n">
        <f aca="false">IF(Calculator!$B$6="Yes",MIN(Q330,'Tax Tables'!$B$31*'Tax Tables'!$B$32),0)</f>
        <v>96000</v>
      </c>
      <c r="T330" s="11" t="n">
        <f aca="false">S330*Calculator!$B$7</f>
        <v>19200</v>
      </c>
      <c r="U330" s="11" t="n">
        <f aca="false">S330*Calculator!$B$8</f>
        <v>16320</v>
      </c>
      <c r="V330" s="11" t="n">
        <f aca="false">IF(Q330&gt;0,'Tax Tables'!$B$32*MIN(MAX(Q330/'Tax Tables'!$B$32*'Tax Tables'!$B$33,'Tax Tables'!$B$34),'Tax Tables'!$B$35),0)</f>
        <v>135</v>
      </c>
      <c r="W330" s="11" t="n">
        <f aca="false">Calculator!$B$5-P330-U330-V330</f>
        <v>225045</v>
      </c>
      <c r="X330" s="11" t="n">
        <f aca="false">'Tax Tables'!$B$22*(MAX(W330,0)-IF(Calculator!$B$10="Yes",MIN(MAX(W330,0),'Tax Tables'!$B$27)*'Tax Tables'!$B$28+MIN(MAX(MAX(W330,0)-'Tax Tables'!$B$27,0),'Tax Tables'!$B$29)*'Tax Tables'!$B$30,MIN(MAX(W330,0),'Tax Tables'!$B$23)*'Tax Tables'!$B$24+MIN(MAX(MAX(W330,0)-'Tax Tables'!$B$23,0),'Tax Tables'!$B$25)*'Tax Tables'!$B$26))*1-MIN('Tax Tables'!$B$22*(MAX(W330,0)-IF(Calculator!$B$10="Yes",MIN(MAX(W330,0),'Tax Tables'!$B$27)*'Tax Tables'!$B$28+MIN(MAX(MAX(W330,0)-'Tax Tables'!$B$27,0),'Tax Tables'!$B$29)*'Tax Tables'!$B$30,MIN(MAX(W330,0),'Tax Tables'!$B$23)*'Tax Tables'!$B$24+MIN(MAX(MAX(W330,0)-'Tax Tables'!$B$23,0),'Tax Tables'!$B$25)*'Tax Tables'!$B$26))*Calculator!$B$11,Calculator!$B$12)</f>
        <v>20832.65</v>
      </c>
      <c r="Y330" s="11" t="n">
        <f aca="false">MAX(W330,0)-X330</f>
        <v>204212.35</v>
      </c>
      <c r="Z330" s="11" t="n">
        <f aca="false">MIN(IF(P330&gt;0,Calculator!$B$13,0)+T330+Calculator!$B$14,'Tax Tables'!$B$36)</f>
        <v>20200</v>
      </c>
      <c r="AA330" s="11" t="n">
        <f aca="false">MAX(P330-Z330,0)</f>
        <v>138300</v>
      </c>
      <c r="AB330" s="11" t="n">
        <f aca="false">SUMPRODUCT((AA330&gt;'Tax Tables'!$A$5:$A$17)*(AA330-'Tax Tables'!$A$5:$A$17)*'Tax Tables'!$C$5:$C$17)</f>
        <v>10695</v>
      </c>
      <c r="AC330" s="11" t="n">
        <f aca="false">IF(W330&lt;0,-1E+099,P330-T330-AB330+Y330+(T330+U330)*Calculator!$B$9)</f>
        <v>368337.35</v>
      </c>
    </row>
    <row r="331" customFormat="false" ht="15" hidden="false" customHeight="false" outlineLevel="0" collapsed="false">
      <c r="A331" s="11" t="n">
        <f aca="false">318*$B$3</f>
        <v>159000</v>
      </c>
      <c r="B331" s="11" t="n">
        <f aca="false">0</f>
        <v>0</v>
      </c>
      <c r="C331" s="11" t="n">
        <f aca="false">A331-B331</f>
        <v>159000</v>
      </c>
      <c r="D331" s="11" t="n">
        <f aca="false">IF(Calculator!$B$6="Yes",MIN(B331,'Tax Tables'!$B$31*'Tax Tables'!$B$32),0)</f>
        <v>0</v>
      </c>
      <c r="E331" s="11" t="n">
        <f aca="false">D331*Calculator!$B$7</f>
        <v>0</v>
      </c>
      <c r="F331" s="11" t="n">
        <f aca="false">D331*Calculator!$B$8</f>
        <v>0</v>
      </c>
      <c r="G331" s="11" t="n">
        <f aca="false">IF(B331&gt;0,'Tax Tables'!$B$32*MIN(MAX(B331/'Tax Tables'!$B$32*'Tax Tables'!$B$33,'Tax Tables'!$B$34),'Tax Tables'!$B$35),0)</f>
        <v>0</v>
      </c>
      <c r="H331" s="11" t="n">
        <f aca="false">Calculator!$B$5-A331-F331-G331</f>
        <v>241000</v>
      </c>
      <c r="I331" s="11" t="n">
        <f aca="false">'Tax Tables'!$B$22*(MAX(H331,0)-IF(Calculator!$B$10="Yes",MIN(MAX(H331,0),'Tax Tables'!$B$27)*'Tax Tables'!$B$28+MIN(MAX(MAX(H331,0)-'Tax Tables'!$B$27,0),'Tax Tables'!$B$29)*'Tax Tables'!$B$30,MIN(MAX(H331,0),'Tax Tables'!$B$23)*'Tax Tables'!$B$24+MIN(MAX(MAX(H331,0)-'Tax Tables'!$B$23,0),'Tax Tables'!$B$25)*'Tax Tables'!$B$26))*1-MIN('Tax Tables'!$B$22*(MAX(H331,0)-IF(Calculator!$B$10="Yes",MIN(MAX(H331,0),'Tax Tables'!$B$27)*'Tax Tables'!$B$28+MIN(MAX(MAX(H331,0)-'Tax Tables'!$B$27,0),'Tax Tables'!$B$29)*'Tax Tables'!$B$30,MIN(MAX(H331,0),'Tax Tables'!$B$23)*'Tax Tables'!$B$24+MIN(MAX(MAX(H331,0)-'Tax Tables'!$B$23,0),'Tax Tables'!$B$25)*'Tax Tables'!$B$26))*Calculator!$B$11,Calculator!$B$12)</f>
        <v>23545</v>
      </c>
      <c r="J331" s="11" t="n">
        <f aca="false">MAX(H331,0)-I331</f>
        <v>217455</v>
      </c>
      <c r="K331" s="11" t="n">
        <f aca="false">MIN(IF(A331&gt;0,Calculator!$B$13,0)+E331+Calculator!$B$14,'Tax Tables'!$B$36)</f>
        <v>1000</v>
      </c>
      <c r="L331" s="11" t="n">
        <f aca="false">MAX(A331-K331,0)</f>
        <v>158000</v>
      </c>
      <c r="M331" s="11" t="n">
        <f aca="false">SUMPRODUCT((L331&gt;'Tax Tables'!$A$5:$A$17)*(L331-'Tax Tables'!$A$5:$A$17)*'Tax Tables'!$C$5:$C$17)</f>
        <v>13650</v>
      </c>
      <c r="N331" s="11" t="n">
        <f aca="false">IF(H331&lt;0,-1E+099,A331-E331-M331+J331+(E331+F331)*Calculator!$B$9)</f>
        <v>362805</v>
      </c>
      <c r="O331" s="2"/>
      <c r="P331" s="11" t="n">
        <f aca="false">318*$B$3</f>
        <v>159000</v>
      </c>
      <c r="Q331" s="11" t="n">
        <f aca="false">MIN(P331,'Tax Tables'!$B$31*'Tax Tables'!$B$32)</f>
        <v>96000</v>
      </c>
      <c r="R331" s="11" t="n">
        <f aca="false">P331-Q331</f>
        <v>63000</v>
      </c>
      <c r="S331" s="11" t="n">
        <f aca="false">IF(Calculator!$B$6="Yes",MIN(Q331,'Tax Tables'!$B$31*'Tax Tables'!$B$32),0)</f>
        <v>96000</v>
      </c>
      <c r="T331" s="11" t="n">
        <f aca="false">S331*Calculator!$B$7</f>
        <v>19200</v>
      </c>
      <c r="U331" s="11" t="n">
        <f aca="false">S331*Calculator!$B$8</f>
        <v>16320</v>
      </c>
      <c r="V331" s="11" t="n">
        <f aca="false">IF(Q331&gt;0,'Tax Tables'!$B$32*MIN(MAX(Q331/'Tax Tables'!$B$32*'Tax Tables'!$B$33,'Tax Tables'!$B$34),'Tax Tables'!$B$35),0)</f>
        <v>135</v>
      </c>
      <c r="W331" s="11" t="n">
        <f aca="false">Calculator!$B$5-P331-U331-V331</f>
        <v>224545</v>
      </c>
      <c r="X331" s="11" t="n">
        <f aca="false">'Tax Tables'!$B$22*(MAX(W331,0)-IF(Calculator!$B$10="Yes",MIN(MAX(W331,0),'Tax Tables'!$B$27)*'Tax Tables'!$B$28+MIN(MAX(MAX(W331,0)-'Tax Tables'!$B$27,0),'Tax Tables'!$B$29)*'Tax Tables'!$B$30,MIN(MAX(W331,0),'Tax Tables'!$B$23)*'Tax Tables'!$B$24+MIN(MAX(MAX(W331,0)-'Tax Tables'!$B$23,0),'Tax Tables'!$B$25)*'Tax Tables'!$B$26))*1-MIN('Tax Tables'!$B$22*(MAX(W331,0)-IF(Calculator!$B$10="Yes",MIN(MAX(W331,0),'Tax Tables'!$B$27)*'Tax Tables'!$B$28+MIN(MAX(MAX(W331,0)-'Tax Tables'!$B$27,0),'Tax Tables'!$B$29)*'Tax Tables'!$B$30,MIN(MAX(W331,0),'Tax Tables'!$B$23)*'Tax Tables'!$B$24+MIN(MAX(MAX(W331,0)-'Tax Tables'!$B$23,0),'Tax Tables'!$B$25)*'Tax Tables'!$B$26))*Calculator!$B$11,Calculator!$B$12)</f>
        <v>20747.65</v>
      </c>
      <c r="Y331" s="11" t="n">
        <f aca="false">MAX(W331,0)-X331</f>
        <v>203797.35</v>
      </c>
      <c r="Z331" s="11" t="n">
        <f aca="false">MIN(IF(P331&gt;0,Calculator!$B$13,0)+T331+Calculator!$B$14,'Tax Tables'!$B$36)</f>
        <v>20200</v>
      </c>
      <c r="AA331" s="11" t="n">
        <f aca="false">MAX(P331-Z331,0)</f>
        <v>138800</v>
      </c>
      <c r="AB331" s="11" t="n">
        <f aca="false">SUMPRODUCT((AA331&gt;'Tax Tables'!$A$5:$A$17)*(AA331-'Tax Tables'!$A$5:$A$17)*'Tax Tables'!$C$5:$C$17)</f>
        <v>10770</v>
      </c>
      <c r="AC331" s="11" t="n">
        <f aca="false">IF(W331&lt;0,-1E+099,P331-T331-AB331+Y331+(T331+U331)*Calculator!$B$9)</f>
        <v>368347.35</v>
      </c>
    </row>
    <row r="332" customFormat="false" ht="15" hidden="false" customHeight="false" outlineLevel="0" collapsed="false">
      <c r="A332" s="11" t="n">
        <f aca="false">319*$B$3</f>
        <v>159500</v>
      </c>
      <c r="B332" s="11" t="n">
        <f aca="false">0</f>
        <v>0</v>
      </c>
      <c r="C332" s="11" t="n">
        <f aca="false">A332-B332</f>
        <v>159500</v>
      </c>
      <c r="D332" s="11" t="n">
        <f aca="false">IF(Calculator!$B$6="Yes",MIN(B332,'Tax Tables'!$B$31*'Tax Tables'!$B$32),0)</f>
        <v>0</v>
      </c>
      <c r="E332" s="11" t="n">
        <f aca="false">D332*Calculator!$B$7</f>
        <v>0</v>
      </c>
      <c r="F332" s="11" t="n">
        <f aca="false">D332*Calculator!$B$8</f>
        <v>0</v>
      </c>
      <c r="G332" s="11" t="n">
        <f aca="false">IF(B332&gt;0,'Tax Tables'!$B$32*MIN(MAX(B332/'Tax Tables'!$B$32*'Tax Tables'!$B$33,'Tax Tables'!$B$34),'Tax Tables'!$B$35),0)</f>
        <v>0</v>
      </c>
      <c r="H332" s="11" t="n">
        <f aca="false">Calculator!$B$5-A332-F332-G332</f>
        <v>240500</v>
      </c>
      <c r="I332" s="11" t="n">
        <f aca="false">'Tax Tables'!$B$22*(MAX(H332,0)-IF(Calculator!$B$10="Yes",MIN(MAX(H332,0),'Tax Tables'!$B$27)*'Tax Tables'!$B$28+MIN(MAX(MAX(H332,0)-'Tax Tables'!$B$27,0),'Tax Tables'!$B$29)*'Tax Tables'!$B$30,MIN(MAX(H332,0),'Tax Tables'!$B$23)*'Tax Tables'!$B$24+MIN(MAX(MAX(H332,0)-'Tax Tables'!$B$23,0),'Tax Tables'!$B$25)*'Tax Tables'!$B$26))*1-MIN('Tax Tables'!$B$22*(MAX(H332,0)-IF(Calculator!$B$10="Yes",MIN(MAX(H332,0),'Tax Tables'!$B$27)*'Tax Tables'!$B$28+MIN(MAX(MAX(H332,0)-'Tax Tables'!$B$27,0),'Tax Tables'!$B$29)*'Tax Tables'!$B$30,MIN(MAX(H332,0),'Tax Tables'!$B$23)*'Tax Tables'!$B$24+MIN(MAX(MAX(H332,0)-'Tax Tables'!$B$23,0),'Tax Tables'!$B$25)*'Tax Tables'!$B$26))*Calculator!$B$11,Calculator!$B$12)</f>
        <v>23460</v>
      </c>
      <c r="J332" s="11" t="n">
        <f aca="false">MAX(H332,0)-I332</f>
        <v>217040</v>
      </c>
      <c r="K332" s="11" t="n">
        <f aca="false">MIN(IF(A332&gt;0,Calculator!$B$13,0)+E332+Calculator!$B$14,'Tax Tables'!$B$36)</f>
        <v>1000</v>
      </c>
      <c r="L332" s="11" t="n">
        <f aca="false">MAX(A332-K332,0)</f>
        <v>158500</v>
      </c>
      <c r="M332" s="11" t="n">
        <f aca="false">SUMPRODUCT((L332&gt;'Tax Tables'!$A$5:$A$17)*(L332-'Tax Tables'!$A$5:$A$17)*'Tax Tables'!$C$5:$C$17)</f>
        <v>13725</v>
      </c>
      <c r="N332" s="11" t="n">
        <f aca="false">IF(H332&lt;0,-1E+099,A332-E332-M332+J332+(E332+F332)*Calculator!$B$9)</f>
        <v>362815</v>
      </c>
      <c r="O332" s="2"/>
      <c r="P332" s="11" t="n">
        <f aca="false">319*$B$3</f>
        <v>159500</v>
      </c>
      <c r="Q332" s="11" t="n">
        <f aca="false">MIN(P332,'Tax Tables'!$B$31*'Tax Tables'!$B$32)</f>
        <v>96000</v>
      </c>
      <c r="R332" s="11" t="n">
        <f aca="false">P332-Q332</f>
        <v>63500</v>
      </c>
      <c r="S332" s="11" t="n">
        <f aca="false">IF(Calculator!$B$6="Yes",MIN(Q332,'Tax Tables'!$B$31*'Tax Tables'!$B$32),0)</f>
        <v>96000</v>
      </c>
      <c r="T332" s="11" t="n">
        <f aca="false">S332*Calculator!$B$7</f>
        <v>19200</v>
      </c>
      <c r="U332" s="11" t="n">
        <f aca="false">S332*Calculator!$B$8</f>
        <v>16320</v>
      </c>
      <c r="V332" s="11" t="n">
        <f aca="false">IF(Q332&gt;0,'Tax Tables'!$B$32*MIN(MAX(Q332/'Tax Tables'!$B$32*'Tax Tables'!$B$33,'Tax Tables'!$B$34),'Tax Tables'!$B$35),0)</f>
        <v>135</v>
      </c>
      <c r="W332" s="11" t="n">
        <f aca="false">Calculator!$B$5-P332-U332-V332</f>
        <v>224045</v>
      </c>
      <c r="X332" s="11" t="n">
        <f aca="false">'Tax Tables'!$B$22*(MAX(W332,0)-IF(Calculator!$B$10="Yes",MIN(MAX(W332,0),'Tax Tables'!$B$27)*'Tax Tables'!$B$28+MIN(MAX(MAX(W332,0)-'Tax Tables'!$B$27,0),'Tax Tables'!$B$29)*'Tax Tables'!$B$30,MIN(MAX(W332,0),'Tax Tables'!$B$23)*'Tax Tables'!$B$24+MIN(MAX(MAX(W332,0)-'Tax Tables'!$B$23,0),'Tax Tables'!$B$25)*'Tax Tables'!$B$26))*1-MIN('Tax Tables'!$B$22*(MAX(W332,0)-IF(Calculator!$B$10="Yes",MIN(MAX(W332,0),'Tax Tables'!$B$27)*'Tax Tables'!$B$28+MIN(MAX(MAX(W332,0)-'Tax Tables'!$B$27,0),'Tax Tables'!$B$29)*'Tax Tables'!$B$30,MIN(MAX(W332,0),'Tax Tables'!$B$23)*'Tax Tables'!$B$24+MIN(MAX(MAX(W332,0)-'Tax Tables'!$B$23,0),'Tax Tables'!$B$25)*'Tax Tables'!$B$26))*Calculator!$B$11,Calculator!$B$12)</f>
        <v>20662.65</v>
      </c>
      <c r="Y332" s="11" t="n">
        <f aca="false">MAX(W332,0)-X332</f>
        <v>203382.35</v>
      </c>
      <c r="Z332" s="11" t="n">
        <f aca="false">MIN(IF(P332&gt;0,Calculator!$B$13,0)+T332+Calculator!$B$14,'Tax Tables'!$B$36)</f>
        <v>20200</v>
      </c>
      <c r="AA332" s="11" t="n">
        <f aca="false">MAX(P332-Z332,0)</f>
        <v>139300</v>
      </c>
      <c r="AB332" s="11" t="n">
        <f aca="false">SUMPRODUCT((AA332&gt;'Tax Tables'!$A$5:$A$17)*(AA332-'Tax Tables'!$A$5:$A$17)*'Tax Tables'!$C$5:$C$17)</f>
        <v>10845</v>
      </c>
      <c r="AC332" s="11" t="n">
        <f aca="false">IF(W332&lt;0,-1E+099,P332-T332-AB332+Y332+(T332+U332)*Calculator!$B$9)</f>
        <v>368357.35</v>
      </c>
    </row>
    <row r="333" customFormat="false" ht="15" hidden="false" customHeight="false" outlineLevel="0" collapsed="false">
      <c r="A333" s="11" t="n">
        <f aca="false">320*$B$3</f>
        <v>160000</v>
      </c>
      <c r="B333" s="11" t="n">
        <f aca="false">0</f>
        <v>0</v>
      </c>
      <c r="C333" s="11" t="n">
        <f aca="false">A333-B333</f>
        <v>160000</v>
      </c>
      <c r="D333" s="11" t="n">
        <f aca="false">IF(Calculator!$B$6="Yes",MIN(B333,'Tax Tables'!$B$31*'Tax Tables'!$B$32),0)</f>
        <v>0</v>
      </c>
      <c r="E333" s="11" t="n">
        <f aca="false">D333*Calculator!$B$7</f>
        <v>0</v>
      </c>
      <c r="F333" s="11" t="n">
        <f aca="false">D333*Calculator!$B$8</f>
        <v>0</v>
      </c>
      <c r="G333" s="11" t="n">
        <f aca="false">IF(B333&gt;0,'Tax Tables'!$B$32*MIN(MAX(B333/'Tax Tables'!$B$32*'Tax Tables'!$B$33,'Tax Tables'!$B$34),'Tax Tables'!$B$35),0)</f>
        <v>0</v>
      </c>
      <c r="H333" s="11" t="n">
        <f aca="false">Calculator!$B$5-A333-F333-G333</f>
        <v>240000</v>
      </c>
      <c r="I333" s="11" t="n">
        <f aca="false">'Tax Tables'!$B$22*(MAX(H333,0)-IF(Calculator!$B$10="Yes",MIN(MAX(H333,0),'Tax Tables'!$B$27)*'Tax Tables'!$B$28+MIN(MAX(MAX(H333,0)-'Tax Tables'!$B$27,0),'Tax Tables'!$B$29)*'Tax Tables'!$B$30,MIN(MAX(H333,0),'Tax Tables'!$B$23)*'Tax Tables'!$B$24+MIN(MAX(MAX(H333,0)-'Tax Tables'!$B$23,0),'Tax Tables'!$B$25)*'Tax Tables'!$B$26))*1-MIN('Tax Tables'!$B$22*(MAX(H333,0)-IF(Calculator!$B$10="Yes",MIN(MAX(H333,0),'Tax Tables'!$B$27)*'Tax Tables'!$B$28+MIN(MAX(MAX(H333,0)-'Tax Tables'!$B$27,0),'Tax Tables'!$B$29)*'Tax Tables'!$B$30,MIN(MAX(H333,0),'Tax Tables'!$B$23)*'Tax Tables'!$B$24+MIN(MAX(MAX(H333,0)-'Tax Tables'!$B$23,0),'Tax Tables'!$B$25)*'Tax Tables'!$B$26))*Calculator!$B$11,Calculator!$B$12)</f>
        <v>23375</v>
      </c>
      <c r="J333" s="11" t="n">
        <f aca="false">MAX(H333,0)-I333</f>
        <v>216625</v>
      </c>
      <c r="K333" s="11" t="n">
        <f aca="false">MIN(IF(A333&gt;0,Calculator!$B$13,0)+E333+Calculator!$B$14,'Tax Tables'!$B$36)</f>
        <v>1000</v>
      </c>
      <c r="L333" s="11" t="n">
        <f aca="false">MAX(A333-K333,0)</f>
        <v>159000</v>
      </c>
      <c r="M333" s="11" t="n">
        <f aca="false">SUMPRODUCT((L333&gt;'Tax Tables'!$A$5:$A$17)*(L333-'Tax Tables'!$A$5:$A$17)*'Tax Tables'!$C$5:$C$17)</f>
        <v>13800</v>
      </c>
      <c r="N333" s="11" t="n">
        <f aca="false">IF(H333&lt;0,-1E+099,A333-E333-M333+J333+(E333+F333)*Calculator!$B$9)</f>
        <v>362825</v>
      </c>
      <c r="O333" s="2"/>
      <c r="P333" s="11" t="n">
        <f aca="false">320*$B$3</f>
        <v>160000</v>
      </c>
      <c r="Q333" s="11" t="n">
        <f aca="false">MIN(P333,'Tax Tables'!$B$31*'Tax Tables'!$B$32)</f>
        <v>96000</v>
      </c>
      <c r="R333" s="11" t="n">
        <f aca="false">P333-Q333</f>
        <v>64000</v>
      </c>
      <c r="S333" s="11" t="n">
        <f aca="false">IF(Calculator!$B$6="Yes",MIN(Q333,'Tax Tables'!$B$31*'Tax Tables'!$B$32),0)</f>
        <v>96000</v>
      </c>
      <c r="T333" s="11" t="n">
        <f aca="false">S333*Calculator!$B$7</f>
        <v>19200</v>
      </c>
      <c r="U333" s="11" t="n">
        <f aca="false">S333*Calculator!$B$8</f>
        <v>16320</v>
      </c>
      <c r="V333" s="11" t="n">
        <f aca="false">IF(Q333&gt;0,'Tax Tables'!$B$32*MIN(MAX(Q333/'Tax Tables'!$B$32*'Tax Tables'!$B$33,'Tax Tables'!$B$34),'Tax Tables'!$B$35),0)</f>
        <v>135</v>
      </c>
      <c r="W333" s="11" t="n">
        <f aca="false">Calculator!$B$5-P333-U333-V333</f>
        <v>223545</v>
      </c>
      <c r="X333" s="11" t="n">
        <f aca="false">'Tax Tables'!$B$22*(MAX(W333,0)-IF(Calculator!$B$10="Yes",MIN(MAX(W333,0),'Tax Tables'!$B$27)*'Tax Tables'!$B$28+MIN(MAX(MAX(W333,0)-'Tax Tables'!$B$27,0),'Tax Tables'!$B$29)*'Tax Tables'!$B$30,MIN(MAX(W333,0),'Tax Tables'!$B$23)*'Tax Tables'!$B$24+MIN(MAX(MAX(W333,0)-'Tax Tables'!$B$23,0),'Tax Tables'!$B$25)*'Tax Tables'!$B$26))*1-MIN('Tax Tables'!$B$22*(MAX(W333,0)-IF(Calculator!$B$10="Yes",MIN(MAX(W333,0),'Tax Tables'!$B$27)*'Tax Tables'!$B$28+MIN(MAX(MAX(W333,0)-'Tax Tables'!$B$27,0),'Tax Tables'!$B$29)*'Tax Tables'!$B$30,MIN(MAX(W333,0),'Tax Tables'!$B$23)*'Tax Tables'!$B$24+MIN(MAX(MAX(W333,0)-'Tax Tables'!$B$23,0),'Tax Tables'!$B$25)*'Tax Tables'!$B$26))*Calculator!$B$11,Calculator!$B$12)</f>
        <v>20577.65</v>
      </c>
      <c r="Y333" s="11" t="n">
        <f aca="false">MAX(W333,0)-X333</f>
        <v>202967.35</v>
      </c>
      <c r="Z333" s="11" t="n">
        <f aca="false">MIN(IF(P333&gt;0,Calculator!$B$13,0)+T333+Calculator!$B$14,'Tax Tables'!$B$36)</f>
        <v>20200</v>
      </c>
      <c r="AA333" s="11" t="n">
        <f aca="false">MAX(P333-Z333,0)</f>
        <v>139800</v>
      </c>
      <c r="AB333" s="11" t="n">
        <f aca="false">SUMPRODUCT((AA333&gt;'Tax Tables'!$A$5:$A$17)*(AA333-'Tax Tables'!$A$5:$A$17)*'Tax Tables'!$C$5:$C$17)</f>
        <v>10920</v>
      </c>
      <c r="AC333" s="11" t="n">
        <f aca="false">IF(W333&lt;0,-1E+099,P333-T333-AB333+Y333+(T333+U333)*Calculator!$B$9)</f>
        <v>368367.35</v>
      </c>
    </row>
    <row r="334" customFormat="false" ht="15" hidden="false" customHeight="false" outlineLevel="0" collapsed="false">
      <c r="A334" s="11" t="n">
        <f aca="false">321*$B$3</f>
        <v>160500</v>
      </c>
      <c r="B334" s="11" t="n">
        <f aca="false">0</f>
        <v>0</v>
      </c>
      <c r="C334" s="11" t="n">
        <f aca="false">A334-B334</f>
        <v>160500</v>
      </c>
      <c r="D334" s="11" t="n">
        <f aca="false">IF(Calculator!$B$6="Yes",MIN(B334,'Tax Tables'!$B$31*'Tax Tables'!$B$32),0)</f>
        <v>0</v>
      </c>
      <c r="E334" s="11" t="n">
        <f aca="false">D334*Calculator!$B$7</f>
        <v>0</v>
      </c>
      <c r="F334" s="11" t="n">
        <f aca="false">D334*Calculator!$B$8</f>
        <v>0</v>
      </c>
      <c r="G334" s="11" t="n">
        <f aca="false">IF(B334&gt;0,'Tax Tables'!$B$32*MIN(MAX(B334/'Tax Tables'!$B$32*'Tax Tables'!$B$33,'Tax Tables'!$B$34),'Tax Tables'!$B$35),0)</f>
        <v>0</v>
      </c>
      <c r="H334" s="11" t="n">
        <f aca="false">Calculator!$B$5-A334-F334-G334</f>
        <v>239500</v>
      </c>
      <c r="I334" s="11" t="n">
        <f aca="false">'Tax Tables'!$B$22*(MAX(H334,0)-IF(Calculator!$B$10="Yes",MIN(MAX(H334,0),'Tax Tables'!$B$27)*'Tax Tables'!$B$28+MIN(MAX(MAX(H334,0)-'Tax Tables'!$B$27,0),'Tax Tables'!$B$29)*'Tax Tables'!$B$30,MIN(MAX(H334,0),'Tax Tables'!$B$23)*'Tax Tables'!$B$24+MIN(MAX(MAX(H334,0)-'Tax Tables'!$B$23,0),'Tax Tables'!$B$25)*'Tax Tables'!$B$26))*1-MIN('Tax Tables'!$B$22*(MAX(H334,0)-IF(Calculator!$B$10="Yes",MIN(MAX(H334,0),'Tax Tables'!$B$27)*'Tax Tables'!$B$28+MIN(MAX(MAX(H334,0)-'Tax Tables'!$B$27,0),'Tax Tables'!$B$29)*'Tax Tables'!$B$30,MIN(MAX(H334,0),'Tax Tables'!$B$23)*'Tax Tables'!$B$24+MIN(MAX(MAX(H334,0)-'Tax Tables'!$B$23,0),'Tax Tables'!$B$25)*'Tax Tables'!$B$26))*Calculator!$B$11,Calculator!$B$12)</f>
        <v>23290</v>
      </c>
      <c r="J334" s="11" t="n">
        <f aca="false">MAX(H334,0)-I334</f>
        <v>216210</v>
      </c>
      <c r="K334" s="11" t="n">
        <f aca="false">MIN(IF(A334&gt;0,Calculator!$B$13,0)+E334+Calculator!$B$14,'Tax Tables'!$B$36)</f>
        <v>1000</v>
      </c>
      <c r="L334" s="11" t="n">
        <f aca="false">MAX(A334-K334,0)</f>
        <v>159500</v>
      </c>
      <c r="M334" s="11" t="n">
        <f aca="false">SUMPRODUCT((L334&gt;'Tax Tables'!$A$5:$A$17)*(L334-'Tax Tables'!$A$5:$A$17)*'Tax Tables'!$C$5:$C$17)</f>
        <v>13875</v>
      </c>
      <c r="N334" s="11" t="n">
        <f aca="false">IF(H334&lt;0,-1E+099,A334-E334-M334+J334+(E334+F334)*Calculator!$B$9)</f>
        <v>362835</v>
      </c>
      <c r="O334" s="2"/>
      <c r="P334" s="11" t="n">
        <f aca="false">321*$B$3</f>
        <v>160500</v>
      </c>
      <c r="Q334" s="11" t="n">
        <f aca="false">MIN(P334,'Tax Tables'!$B$31*'Tax Tables'!$B$32)</f>
        <v>96000</v>
      </c>
      <c r="R334" s="11" t="n">
        <f aca="false">P334-Q334</f>
        <v>64500</v>
      </c>
      <c r="S334" s="11" t="n">
        <f aca="false">IF(Calculator!$B$6="Yes",MIN(Q334,'Tax Tables'!$B$31*'Tax Tables'!$B$32),0)</f>
        <v>96000</v>
      </c>
      <c r="T334" s="11" t="n">
        <f aca="false">S334*Calculator!$B$7</f>
        <v>19200</v>
      </c>
      <c r="U334" s="11" t="n">
        <f aca="false">S334*Calculator!$B$8</f>
        <v>16320</v>
      </c>
      <c r="V334" s="11" t="n">
        <f aca="false">IF(Q334&gt;0,'Tax Tables'!$B$32*MIN(MAX(Q334/'Tax Tables'!$B$32*'Tax Tables'!$B$33,'Tax Tables'!$B$34),'Tax Tables'!$B$35),0)</f>
        <v>135</v>
      </c>
      <c r="W334" s="11" t="n">
        <f aca="false">Calculator!$B$5-P334-U334-V334</f>
        <v>223045</v>
      </c>
      <c r="X334" s="11" t="n">
        <f aca="false">'Tax Tables'!$B$22*(MAX(W334,0)-IF(Calculator!$B$10="Yes",MIN(MAX(W334,0),'Tax Tables'!$B$27)*'Tax Tables'!$B$28+MIN(MAX(MAX(W334,0)-'Tax Tables'!$B$27,0),'Tax Tables'!$B$29)*'Tax Tables'!$B$30,MIN(MAX(W334,0),'Tax Tables'!$B$23)*'Tax Tables'!$B$24+MIN(MAX(MAX(W334,0)-'Tax Tables'!$B$23,0),'Tax Tables'!$B$25)*'Tax Tables'!$B$26))*1-MIN('Tax Tables'!$B$22*(MAX(W334,0)-IF(Calculator!$B$10="Yes",MIN(MAX(W334,0),'Tax Tables'!$B$27)*'Tax Tables'!$B$28+MIN(MAX(MAX(W334,0)-'Tax Tables'!$B$27,0),'Tax Tables'!$B$29)*'Tax Tables'!$B$30,MIN(MAX(W334,0),'Tax Tables'!$B$23)*'Tax Tables'!$B$24+MIN(MAX(MAX(W334,0)-'Tax Tables'!$B$23,0),'Tax Tables'!$B$25)*'Tax Tables'!$B$26))*Calculator!$B$11,Calculator!$B$12)</f>
        <v>20492.65</v>
      </c>
      <c r="Y334" s="11" t="n">
        <f aca="false">MAX(W334,0)-X334</f>
        <v>202552.35</v>
      </c>
      <c r="Z334" s="11" t="n">
        <f aca="false">MIN(IF(P334&gt;0,Calculator!$B$13,0)+T334+Calculator!$B$14,'Tax Tables'!$B$36)</f>
        <v>20200</v>
      </c>
      <c r="AA334" s="11" t="n">
        <f aca="false">MAX(P334-Z334,0)</f>
        <v>140300</v>
      </c>
      <c r="AB334" s="11" t="n">
        <f aca="false">SUMPRODUCT((AA334&gt;'Tax Tables'!$A$5:$A$17)*(AA334-'Tax Tables'!$A$5:$A$17)*'Tax Tables'!$C$5:$C$17)</f>
        <v>10995</v>
      </c>
      <c r="AC334" s="11" t="n">
        <f aca="false">IF(W334&lt;0,-1E+099,P334-T334-AB334+Y334+(T334+U334)*Calculator!$B$9)</f>
        <v>368377.35</v>
      </c>
    </row>
    <row r="335" customFormat="false" ht="15" hidden="false" customHeight="false" outlineLevel="0" collapsed="false">
      <c r="A335" s="11" t="n">
        <f aca="false">322*$B$3</f>
        <v>161000</v>
      </c>
      <c r="B335" s="11" t="n">
        <f aca="false">0</f>
        <v>0</v>
      </c>
      <c r="C335" s="11" t="n">
        <f aca="false">A335-B335</f>
        <v>161000</v>
      </c>
      <c r="D335" s="11" t="n">
        <f aca="false">IF(Calculator!$B$6="Yes",MIN(B335,'Tax Tables'!$B$31*'Tax Tables'!$B$32),0)</f>
        <v>0</v>
      </c>
      <c r="E335" s="11" t="n">
        <f aca="false">D335*Calculator!$B$7</f>
        <v>0</v>
      </c>
      <c r="F335" s="11" t="n">
        <f aca="false">D335*Calculator!$B$8</f>
        <v>0</v>
      </c>
      <c r="G335" s="11" t="n">
        <f aca="false">IF(B335&gt;0,'Tax Tables'!$B$32*MIN(MAX(B335/'Tax Tables'!$B$32*'Tax Tables'!$B$33,'Tax Tables'!$B$34),'Tax Tables'!$B$35),0)</f>
        <v>0</v>
      </c>
      <c r="H335" s="11" t="n">
        <f aca="false">Calculator!$B$5-A335-F335-G335</f>
        <v>239000</v>
      </c>
      <c r="I335" s="11" t="n">
        <f aca="false">'Tax Tables'!$B$22*(MAX(H335,0)-IF(Calculator!$B$10="Yes",MIN(MAX(H335,0),'Tax Tables'!$B$27)*'Tax Tables'!$B$28+MIN(MAX(MAX(H335,0)-'Tax Tables'!$B$27,0),'Tax Tables'!$B$29)*'Tax Tables'!$B$30,MIN(MAX(H335,0),'Tax Tables'!$B$23)*'Tax Tables'!$B$24+MIN(MAX(MAX(H335,0)-'Tax Tables'!$B$23,0),'Tax Tables'!$B$25)*'Tax Tables'!$B$26))*1-MIN('Tax Tables'!$B$22*(MAX(H335,0)-IF(Calculator!$B$10="Yes",MIN(MAX(H335,0),'Tax Tables'!$B$27)*'Tax Tables'!$B$28+MIN(MAX(MAX(H335,0)-'Tax Tables'!$B$27,0),'Tax Tables'!$B$29)*'Tax Tables'!$B$30,MIN(MAX(H335,0),'Tax Tables'!$B$23)*'Tax Tables'!$B$24+MIN(MAX(MAX(H335,0)-'Tax Tables'!$B$23,0),'Tax Tables'!$B$25)*'Tax Tables'!$B$26))*Calculator!$B$11,Calculator!$B$12)</f>
        <v>23205</v>
      </c>
      <c r="J335" s="11" t="n">
        <f aca="false">MAX(H335,0)-I335</f>
        <v>215795</v>
      </c>
      <c r="K335" s="11" t="n">
        <f aca="false">MIN(IF(A335&gt;0,Calculator!$B$13,0)+E335+Calculator!$B$14,'Tax Tables'!$B$36)</f>
        <v>1000</v>
      </c>
      <c r="L335" s="11" t="n">
        <f aca="false">MAX(A335-K335,0)</f>
        <v>160000</v>
      </c>
      <c r="M335" s="11" t="n">
        <f aca="false">SUMPRODUCT((L335&gt;'Tax Tables'!$A$5:$A$17)*(L335-'Tax Tables'!$A$5:$A$17)*'Tax Tables'!$C$5:$C$17)</f>
        <v>13950</v>
      </c>
      <c r="N335" s="11" t="n">
        <f aca="false">IF(H335&lt;0,-1E+099,A335-E335-M335+J335+(E335+F335)*Calculator!$B$9)</f>
        <v>362845</v>
      </c>
      <c r="O335" s="2"/>
      <c r="P335" s="11" t="n">
        <f aca="false">322*$B$3</f>
        <v>161000</v>
      </c>
      <c r="Q335" s="11" t="n">
        <f aca="false">MIN(P335,'Tax Tables'!$B$31*'Tax Tables'!$B$32)</f>
        <v>96000</v>
      </c>
      <c r="R335" s="11" t="n">
        <f aca="false">P335-Q335</f>
        <v>65000</v>
      </c>
      <c r="S335" s="11" t="n">
        <f aca="false">IF(Calculator!$B$6="Yes",MIN(Q335,'Tax Tables'!$B$31*'Tax Tables'!$B$32),0)</f>
        <v>96000</v>
      </c>
      <c r="T335" s="11" t="n">
        <f aca="false">S335*Calculator!$B$7</f>
        <v>19200</v>
      </c>
      <c r="U335" s="11" t="n">
        <f aca="false">S335*Calculator!$B$8</f>
        <v>16320</v>
      </c>
      <c r="V335" s="11" t="n">
        <f aca="false">IF(Q335&gt;0,'Tax Tables'!$B$32*MIN(MAX(Q335/'Tax Tables'!$B$32*'Tax Tables'!$B$33,'Tax Tables'!$B$34),'Tax Tables'!$B$35),0)</f>
        <v>135</v>
      </c>
      <c r="W335" s="11" t="n">
        <f aca="false">Calculator!$B$5-P335-U335-V335</f>
        <v>222545</v>
      </c>
      <c r="X335" s="11" t="n">
        <f aca="false">'Tax Tables'!$B$22*(MAX(W335,0)-IF(Calculator!$B$10="Yes",MIN(MAX(W335,0),'Tax Tables'!$B$27)*'Tax Tables'!$B$28+MIN(MAX(MAX(W335,0)-'Tax Tables'!$B$27,0),'Tax Tables'!$B$29)*'Tax Tables'!$B$30,MIN(MAX(W335,0),'Tax Tables'!$B$23)*'Tax Tables'!$B$24+MIN(MAX(MAX(W335,0)-'Tax Tables'!$B$23,0),'Tax Tables'!$B$25)*'Tax Tables'!$B$26))*1-MIN('Tax Tables'!$B$22*(MAX(W335,0)-IF(Calculator!$B$10="Yes",MIN(MAX(W335,0),'Tax Tables'!$B$27)*'Tax Tables'!$B$28+MIN(MAX(MAX(W335,0)-'Tax Tables'!$B$27,0),'Tax Tables'!$B$29)*'Tax Tables'!$B$30,MIN(MAX(W335,0),'Tax Tables'!$B$23)*'Tax Tables'!$B$24+MIN(MAX(MAX(W335,0)-'Tax Tables'!$B$23,0),'Tax Tables'!$B$25)*'Tax Tables'!$B$26))*Calculator!$B$11,Calculator!$B$12)</f>
        <v>20407.65</v>
      </c>
      <c r="Y335" s="11" t="n">
        <f aca="false">MAX(W335,0)-X335</f>
        <v>202137.35</v>
      </c>
      <c r="Z335" s="11" t="n">
        <f aca="false">MIN(IF(P335&gt;0,Calculator!$B$13,0)+T335+Calculator!$B$14,'Tax Tables'!$B$36)</f>
        <v>20200</v>
      </c>
      <c r="AA335" s="11" t="n">
        <f aca="false">MAX(P335-Z335,0)</f>
        <v>140800</v>
      </c>
      <c r="AB335" s="11" t="n">
        <f aca="false">SUMPRODUCT((AA335&gt;'Tax Tables'!$A$5:$A$17)*(AA335-'Tax Tables'!$A$5:$A$17)*'Tax Tables'!$C$5:$C$17)</f>
        <v>11070</v>
      </c>
      <c r="AC335" s="11" t="n">
        <f aca="false">IF(W335&lt;0,-1E+099,P335-T335-AB335+Y335+(T335+U335)*Calculator!$B$9)</f>
        <v>368387.35</v>
      </c>
    </row>
    <row r="336" customFormat="false" ht="15" hidden="false" customHeight="false" outlineLevel="0" collapsed="false">
      <c r="A336" s="11" t="n">
        <f aca="false">323*$B$3</f>
        <v>161500</v>
      </c>
      <c r="B336" s="11" t="n">
        <f aca="false">0</f>
        <v>0</v>
      </c>
      <c r="C336" s="11" t="n">
        <f aca="false">A336-B336</f>
        <v>161500</v>
      </c>
      <c r="D336" s="11" t="n">
        <f aca="false">IF(Calculator!$B$6="Yes",MIN(B336,'Tax Tables'!$B$31*'Tax Tables'!$B$32),0)</f>
        <v>0</v>
      </c>
      <c r="E336" s="11" t="n">
        <f aca="false">D336*Calculator!$B$7</f>
        <v>0</v>
      </c>
      <c r="F336" s="11" t="n">
        <f aca="false">D336*Calculator!$B$8</f>
        <v>0</v>
      </c>
      <c r="G336" s="11" t="n">
        <f aca="false">IF(B336&gt;0,'Tax Tables'!$B$32*MIN(MAX(B336/'Tax Tables'!$B$32*'Tax Tables'!$B$33,'Tax Tables'!$B$34),'Tax Tables'!$B$35),0)</f>
        <v>0</v>
      </c>
      <c r="H336" s="11" t="n">
        <f aca="false">Calculator!$B$5-A336-F336-G336</f>
        <v>238500</v>
      </c>
      <c r="I336" s="11" t="n">
        <f aca="false">'Tax Tables'!$B$22*(MAX(H336,0)-IF(Calculator!$B$10="Yes",MIN(MAX(H336,0),'Tax Tables'!$B$27)*'Tax Tables'!$B$28+MIN(MAX(MAX(H336,0)-'Tax Tables'!$B$27,0),'Tax Tables'!$B$29)*'Tax Tables'!$B$30,MIN(MAX(H336,0),'Tax Tables'!$B$23)*'Tax Tables'!$B$24+MIN(MAX(MAX(H336,0)-'Tax Tables'!$B$23,0),'Tax Tables'!$B$25)*'Tax Tables'!$B$26))*1-MIN('Tax Tables'!$B$22*(MAX(H336,0)-IF(Calculator!$B$10="Yes",MIN(MAX(H336,0),'Tax Tables'!$B$27)*'Tax Tables'!$B$28+MIN(MAX(MAX(H336,0)-'Tax Tables'!$B$27,0),'Tax Tables'!$B$29)*'Tax Tables'!$B$30,MIN(MAX(H336,0),'Tax Tables'!$B$23)*'Tax Tables'!$B$24+MIN(MAX(MAX(H336,0)-'Tax Tables'!$B$23,0),'Tax Tables'!$B$25)*'Tax Tables'!$B$26))*Calculator!$B$11,Calculator!$B$12)</f>
        <v>23120</v>
      </c>
      <c r="J336" s="11" t="n">
        <f aca="false">MAX(H336,0)-I336</f>
        <v>215380</v>
      </c>
      <c r="K336" s="11" t="n">
        <f aca="false">MIN(IF(A336&gt;0,Calculator!$B$13,0)+E336+Calculator!$B$14,'Tax Tables'!$B$36)</f>
        <v>1000</v>
      </c>
      <c r="L336" s="11" t="n">
        <f aca="false">MAX(A336-K336,0)</f>
        <v>160500</v>
      </c>
      <c r="M336" s="11" t="n">
        <f aca="false">SUMPRODUCT((L336&gt;'Tax Tables'!$A$5:$A$17)*(L336-'Tax Tables'!$A$5:$A$17)*'Tax Tables'!$C$5:$C$17)</f>
        <v>14040</v>
      </c>
      <c r="N336" s="11" t="n">
        <f aca="false">IF(H336&lt;0,-1E+099,A336-E336-M336+J336+(E336+F336)*Calculator!$B$9)</f>
        <v>362840</v>
      </c>
      <c r="O336" s="2"/>
      <c r="P336" s="11" t="n">
        <f aca="false">323*$B$3</f>
        <v>161500</v>
      </c>
      <c r="Q336" s="11" t="n">
        <f aca="false">MIN(P336,'Tax Tables'!$B$31*'Tax Tables'!$B$32)</f>
        <v>96000</v>
      </c>
      <c r="R336" s="11" t="n">
        <f aca="false">P336-Q336</f>
        <v>65500</v>
      </c>
      <c r="S336" s="11" t="n">
        <f aca="false">IF(Calculator!$B$6="Yes",MIN(Q336,'Tax Tables'!$B$31*'Tax Tables'!$B$32),0)</f>
        <v>96000</v>
      </c>
      <c r="T336" s="11" t="n">
        <f aca="false">S336*Calculator!$B$7</f>
        <v>19200</v>
      </c>
      <c r="U336" s="11" t="n">
        <f aca="false">S336*Calculator!$B$8</f>
        <v>16320</v>
      </c>
      <c r="V336" s="11" t="n">
        <f aca="false">IF(Q336&gt;0,'Tax Tables'!$B$32*MIN(MAX(Q336/'Tax Tables'!$B$32*'Tax Tables'!$B$33,'Tax Tables'!$B$34),'Tax Tables'!$B$35),0)</f>
        <v>135</v>
      </c>
      <c r="W336" s="11" t="n">
        <f aca="false">Calculator!$B$5-P336-U336-V336</f>
        <v>222045</v>
      </c>
      <c r="X336" s="11" t="n">
        <f aca="false">'Tax Tables'!$B$22*(MAX(W336,0)-IF(Calculator!$B$10="Yes",MIN(MAX(W336,0),'Tax Tables'!$B$27)*'Tax Tables'!$B$28+MIN(MAX(MAX(W336,0)-'Tax Tables'!$B$27,0),'Tax Tables'!$B$29)*'Tax Tables'!$B$30,MIN(MAX(W336,0),'Tax Tables'!$B$23)*'Tax Tables'!$B$24+MIN(MAX(MAX(W336,0)-'Tax Tables'!$B$23,0),'Tax Tables'!$B$25)*'Tax Tables'!$B$26))*1-MIN('Tax Tables'!$B$22*(MAX(W336,0)-IF(Calculator!$B$10="Yes",MIN(MAX(W336,0),'Tax Tables'!$B$27)*'Tax Tables'!$B$28+MIN(MAX(MAX(W336,0)-'Tax Tables'!$B$27,0),'Tax Tables'!$B$29)*'Tax Tables'!$B$30,MIN(MAX(W336,0),'Tax Tables'!$B$23)*'Tax Tables'!$B$24+MIN(MAX(MAX(W336,0)-'Tax Tables'!$B$23,0),'Tax Tables'!$B$25)*'Tax Tables'!$B$26))*Calculator!$B$11,Calculator!$B$12)</f>
        <v>20322.65</v>
      </c>
      <c r="Y336" s="11" t="n">
        <f aca="false">MAX(W336,0)-X336</f>
        <v>201722.35</v>
      </c>
      <c r="Z336" s="11" t="n">
        <f aca="false">MIN(IF(P336&gt;0,Calculator!$B$13,0)+T336+Calculator!$B$14,'Tax Tables'!$B$36)</f>
        <v>20200</v>
      </c>
      <c r="AA336" s="11" t="n">
        <f aca="false">MAX(P336-Z336,0)</f>
        <v>141300</v>
      </c>
      <c r="AB336" s="11" t="n">
        <f aca="false">SUMPRODUCT((AA336&gt;'Tax Tables'!$A$5:$A$17)*(AA336-'Tax Tables'!$A$5:$A$17)*'Tax Tables'!$C$5:$C$17)</f>
        <v>11145</v>
      </c>
      <c r="AC336" s="11" t="n">
        <f aca="false">IF(W336&lt;0,-1E+099,P336-T336-AB336+Y336+(T336+U336)*Calculator!$B$9)</f>
        <v>368397.35</v>
      </c>
    </row>
    <row r="337" customFormat="false" ht="15" hidden="false" customHeight="false" outlineLevel="0" collapsed="false">
      <c r="A337" s="11" t="n">
        <f aca="false">324*$B$3</f>
        <v>162000</v>
      </c>
      <c r="B337" s="11" t="n">
        <f aca="false">0</f>
        <v>0</v>
      </c>
      <c r="C337" s="11" t="n">
        <f aca="false">A337-B337</f>
        <v>162000</v>
      </c>
      <c r="D337" s="11" t="n">
        <f aca="false">IF(Calculator!$B$6="Yes",MIN(B337,'Tax Tables'!$B$31*'Tax Tables'!$B$32),0)</f>
        <v>0</v>
      </c>
      <c r="E337" s="11" t="n">
        <f aca="false">D337*Calculator!$B$7</f>
        <v>0</v>
      </c>
      <c r="F337" s="11" t="n">
        <f aca="false">D337*Calculator!$B$8</f>
        <v>0</v>
      </c>
      <c r="G337" s="11" t="n">
        <f aca="false">IF(B337&gt;0,'Tax Tables'!$B$32*MIN(MAX(B337/'Tax Tables'!$B$32*'Tax Tables'!$B$33,'Tax Tables'!$B$34),'Tax Tables'!$B$35),0)</f>
        <v>0</v>
      </c>
      <c r="H337" s="11" t="n">
        <f aca="false">Calculator!$B$5-A337-F337-G337</f>
        <v>238000</v>
      </c>
      <c r="I337" s="11" t="n">
        <f aca="false">'Tax Tables'!$B$22*(MAX(H337,0)-IF(Calculator!$B$10="Yes",MIN(MAX(H337,0),'Tax Tables'!$B$27)*'Tax Tables'!$B$28+MIN(MAX(MAX(H337,0)-'Tax Tables'!$B$27,0),'Tax Tables'!$B$29)*'Tax Tables'!$B$30,MIN(MAX(H337,0),'Tax Tables'!$B$23)*'Tax Tables'!$B$24+MIN(MAX(MAX(H337,0)-'Tax Tables'!$B$23,0),'Tax Tables'!$B$25)*'Tax Tables'!$B$26))*1-MIN('Tax Tables'!$B$22*(MAX(H337,0)-IF(Calculator!$B$10="Yes",MIN(MAX(H337,0),'Tax Tables'!$B$27)*'Tax Tables'!$B$28+MIN(MAX(MAX(H337,0)-'Tax Tables'!$B$27,0),'Tax Tables'!$B$29)*'Tax Tables'!$B$30,MIN(MAX(H337,0),'Tax Tables'!$B$23)*'Tax Tables'!$B$24+MIN(MAX(MAX(H337,0)-'Tax Tables'!$B$23,0),'Tax Tables'!$B$25)*'Tax Tables'!$B$26))*Calculator!$B$11,Calculator!$B$12)</f>
        <v>23035</v>
      </c>
      <c r="J337" s="11" t="n">
        <f aca="false">MAX(H337,0)-I337</f>
        <v>214965</v>
      </c>
      <c r="K337" s="11" t="n">
        <f aca="false">MIN(IF(A337&gt;0,Calculator!$B$13,0)+E337+Calculator!$B$14,'Tax Tables'!$B$36)</f>
        <v>1000</v>
      </c>
      <c r="L337" s="11" t="n">
        <f aca="false">MAX(A337-K337,0)</f>
        <v>161000</v>
      </c>
      <c r="M337" s="11" t="n">
        <f aca="false">SUMPRODUCT((L337&gt;'Tax Tables'!$A$5:$A$17)*(L337-'Tax Tables'!$A$5:$A$17)*'Tax Tables'!$C$5:$C$17)</f>
        <v>14130</v>
      </c>
      <c r="N337" s="11" t="n">
        <f aca="false">IF(H337&lt;0,-1E+099,A337-E337-M337+J337+(E337+F337)*Calculator!$B$9)</f>
        <v>362835</v>
      </c>
      <c r="O337" s="2"/>
      <c r="P337" s="11" t="n">
        <f aca="false">324*$B$3</f>
        <v>162000</v>
      </c>
      <c r="Q337" s="11" t="n">
        <f aca="false">MIN(P337,'Tax Tables'!$B$31*'Tax Tables'!$B$32)</f>
        <v>96000</v>
      </c>
      <c r="R337" s="11" t="n">
        <f aca="false">P337-Q337</f>
        <v>66000</v>
      </c>
      <c r="S337" s="11" t="n">
        <f aca="false">IF(Calculator!$B$6="Yes",MIN(Q337,'Tax Tables'!$B$31*'Tax Tables'!$B$32),0)</f>
        <v>96000</v>
      </c>
      <c r="T337" s="11" t="n">
        <f aca="false">S337*Calculator!$B$7</f>
        <v>19200</v>
      </c>
      <c r="U337" s="11" t="n">
        <f aca="false">S337*Calculator!$B$8</f>
        <v>16320</v>
      </c>
      <c r="V337" s="11" t="n">
        <f aca="false">IF(Q337&gt;0,'Tax Tables'!$B$32*MIN(MAX(Q337/'Tax Tables'!$B$32*'Tax Tables'!$B$33,'Tax Tables'!$B$34),'Tax Tables'!$B$35),0)</f>
        <v>135</v>
      </c>
      <c r="W337" s="11" t="n">
        <f aca="false">Calculator!$B$5-P337-U337-V337</f>
        <v>221545</v>
      </c>
      <c r="X337" s="11" t="n">
        <f aca="false">'Tax Tables'!$B$22*(MAX(W337,0)-IF(Calculator!$B$10="Yes",MIN(MAX(W337,0),'Tax Tables'!$B$27)*'Tax Tables'!$B$28+MIN(MAX(MAX(W337,0)-'Tax Tables'!$B$27,0),'Tax Tables'!$B$29)*'Tax Tables'!$B$30,MIN(MAX(W337,0),'Tax Tables'!$B$23)*'Tax Tables'!$B$24+MIN(MAX(MAX(W337,0)-'Tax Tables'!$B$23,0),'Tax Tables'!$B$25)*'Tax Tables'!$B$26))*1-MIN('Tax Tables'!$B$22*(MAX(W337,0)-IF(Calculator!$B$10="Yes",MIN(MAX(W337,0),'Tax Tables'!$B$27)*'Tax Tables'!$B$28+MIN(MAX(MAX(W337,0)-'Tax Tables'!$B$27,0),'Tax Tables'!$B$29)*'Tax Tables'!$B$30,MIN(MAX(W337,0),'Tax Tables'!$B$23)*'Tax Tables'!$B$24+MIN(MAX(MAX(W337,0)-'Tax Tables'!$B$23,0),'Tax Tables'!$B$25)*'Tax Tables'!$B$26))*Calculator!$B$11,Calculator!$B$12)</f>
        <v>20237.65</v>
      </c>
      <c r="Y337" s="11" t="n">
        <f aca="false">MAX(W337,0)-X337</f>
        <v>201307.35</v>
      </c>
      <c r="Z337" s="11" t="n">
        <f aca="false">MIN(IF(P337&gt;0,Calculator!$B$13,0)+T337+Calculator!$B$14,'Tax Tables'!$B$36)</f>
        <v>20200</v>
      </c>
      <c r="AA337" s="11" t="n">
        <f aca="false">MAX(P337-Z337,0)</f>
        <v>141800</v>
      </c>
      <c r="AB337" s="11" t="n">
        <f aca="false">SUMPRODUCT((AA337&gt;'Tax Tables'!$A$5:$A$17)*(AA337-'Tax Tables'!$A$5:$A$17)*'Tax Tables'!$C$5:$C$17)</f>
        <v>11220</v>
      </c>
      <c r="AC337" s="11" t="n">
        <f aca="false">IF(W337&lt;0,-1E+099,P337-T337-AB337+Y337+(T337+U337)*Calculator!$B$9)</f>
        <v>368407.35</v>
      </c>
    </row>
    <row r="338" customFormat="false" ht="15" hidden="false" customHeight="false" outlineLevel="0" collapsed="false">
      <c r="A338" s="11" t="n">
        <f aca="false">325*$B$3</f>
        <v>162500</v>
      </c>
      <c r="B338" s="11" t="n">
        <f aca="false">0</f>
        <v>0</v>
      </c>
      <c r="C338" s="11" t="n">
        <f aca="false">A338-B338</f>
        <v>162500</v>
      </c>
      <c r="D338" s="11" t="n">
        <f aca="false">IF(Calculator!$B$6="Yes",MIN(B338,'Tax Tables'!$B$31*'Tax Tables'!$B$32),0)</f>
        <v>0</v>
      </c>
      <c r="E338" s="11" t="n">
        <f aca="false">D338*Calculator!$B$7</f>
        <v>0</v>
      </c>
      <c r="F338" s="11" t="n">
        <f aca="false">D338*Calculator!$B$8</f>
        <v>0</v>
      </c>
      <c r="G338" s="11" t="n">
        <f aca="false">IF(B338&gt;0,'Tax Tables'!$B$32*MIN(MAX(B338/'Tax Tables'!$B$32*'Tax Tables'!$B$33,'Tax Tables'!$B$34),'Tax Tables'!$B$35),0)</f>
        <v>0</v>
      </c>
      <c r="H338" s="11" t="n">
        <f aca="false">Calculator!$B$5-A338-F338-G338</f>
        <v>237500</v>
      </c>
      <c r="I338" s="11" t="n">
        <f aca="false">'Tax Tables'!$B$22*(MAX(H338,0)-IF(Calculator!$B$10="Yes",MIN(MAX(H338,0),'Tax Tables'!$B$27)*'Tax Tables'!$B$28+MIN(MAX(MAX(H338,0)-'Tax Tables'!$B$27,0),'Tax Tables'!$B$29)*'Tax Tables'!$B$30,MIN(MAX(H338,0),'Tax Tables'!$B$23)*'Tax Tables'!$B$24+MIN(MAX(MAX(H338,0)-'Tax Tables'!$B$23,0),'Tax Tables'!$B$25)*'Tax Tables'!$B$26))*1-MIN('Tax Tables'!$B$22*(MAX(H338,0)-IF(Calculator!$B$10="Yes",MIN(MAX(H338,0),'Tax Tables'!$B$27)*'Tax Tables'!$B$28+MIN(MAX(MAX(H338,0)-'Tax Tables'!$B$27,0),'Tax Tables'!$B$29)*'Tax Tables'!$B$30,MIN(MAX(H338,0),'Tax Tables'!$B$23)*'Tax Tables'!$B$24+MIN(MAX(MAX(H338,0)-'Tax Tables'!$B$23,0),'Tax Tables'!$B$25)*'Tax Tables'!$B$26))*Calculator!$B$11,Calculator!$B$12)</f>
        <v>22950</v>
      </c>
      <c r="J338" s="11" t="n">
        <f aca="false">MAX(H338,0)-I338</f>
        <v>214550</v>
      </c>
      <c r="K338" s="11" t="n">
        <f aca="false">MIN(IF(A338&gt;0,Calculator!$B$13,0)+E338+Calculator!$B$14,'Tax Tables'!$B$36)</f>
        <v>1000</v>
      </c>
      <c r="L338" s="11" t="n">
        <f aca="false">MAX(A338-K338,0)</f>
        <v>161500</v>
      </c>
      <c r="M338" s="11" t="n">
        <f aca="false">SUMPRODUCT((L338&gt;'Tax Tables'!$A$5:$A$17)*(L338-'Tax Tables'!$A$5:$A$17)*'Tax Tables'!$C$5:$C$17)</f>
        <v>14220</v>
      </c>
      <c r="N338" s="11" t="n">
        <f aca="false">IF(H338&lt;0,-1E+099,A338-E338-M338+J338+(E338+F338)*Calculator!$B$9)</f>
        <v>362830</v>
      </c>
      <c r="O338" s="2"/>
      <c r="P338" s="11" t="n">
        <f aca="false">325*$B$3</f>
        <v>162500</v>
      </c>
      <c r="Q338" s="11" t="n">
        <f aca="false">MIN(P338,'Tax Tables'!$B$31*'Tax Tables'!$B$32)</f>
        <v>96000</v>
      </c>
      <c r="R338" s="11" t="n">
        <f aca="false">P338-Q338</f>
        <v>66500</v>
      </c>
      <c r="S338" s="11" t="n">
        <f aca="false">IF(Calculator!$B$6="Yes",MIN(Q338,'Tax Tables'!$B$31*'Tax Tables'!$B$32),0)</f>
        <v>96000</v>
      </c>
      <c r="T338" s="11" t="n">
        <f aca="false">S338*Calculator!$B$7</f>
        <v>19200</v>
      </c>
      <c r="U338" s="11" t="n">
        <f aca="false">S338*Calculator!$B$8</f>
        <v>16320</v>
      </c>
      <c r="V338" s="11" t="n">
        <f aca="false">IF(Q338&gt;0,'Tax Tables'!$B$32*MIN(MAX(Q338/'Tax Tables'!$B$32*'Tax Tables'!$B$33,'Tax Tables'!$B$34),'Tax Tables'!$B$35),0)</f>
        <v>135</v>
      </c>
      <c r="W338" s="11" t="n">
        <f aca="false">Calculator!$B$5-P338-U338-V338</f>
        <v>221045</v>
      </c>
      <c r="X338" s="11" t="n">
        <f aca="false">'Tax Tables'!$B$22*(MAX(W338,0)-IF(Calculator!$B$10="Yes",MIN(MAX(W338,0),'Tax Tables'!$B$27)*'Tax Tables'!$B$28+MIN(MAX(MAX(W338,0)-'Tax Tables'!$B$27,0),'Tax Tables'!$B$29)*'Tax Tables'!$B$30,MIN(MAX(W338,0),'Tax Tables'!$B$23)*'Tax Tables'!$B$24+MIN(MAX(MAX(W338,0)-'Tax Tables'!$B$23,0),'Tax Tables'!$B$25)*'Tax Tables'!$B$26))*1-MIN('Tax Tables'!$B$22*(MAX(W338,0)-IF(Calculator!$B$10="Yes",MIN(MAX(W338,0),'Tax Tables'!$B$27)*'Tax Tables'!$B$28+MIN(MAX(MAX(W338,0)-'Tax Tables'!$B$27,0),'Tax Tables'!$B$29)*'Tax Tables'!$B$30,MIN(MAX(W338,0),'Tax Tables'!$B$23)*'Tax Tables'!$B$24+MIN(MAX(MAX(W338,0)-'Tax Tables'!$B$23,0),'Tax Tables'!$B$25)*'Tax Tables'!$B$26))*Calculator!$B$11,Calculator!$B$12)</f>
        <v>20152.65</v>
      </c>
      <c r="Y338" s="11" t="n">
        <f aca="false">MAX(W338,0)-X338</f>
        <v>200892.35</v>
      </c>
      <c r="Z338" s="11" t="n">
        <f aca="false">MIN(IF(P338&gt;0,Calculator!$B$13,0)+T338+Calculator!$B$14,'Tax Tables'!$B$36)</f>
        <v>20200</v>
      </c>
      <c r="AA338" s="11" t="n">
        <f aca="false">MAX(P338-Z338,0)</f>
        <v>142300</v>
      </c>
      <c r="AB338" s="11" t="n">
        <f aca="false">SUMPRODUCT((AA338&gt;'Tax Tables'!$A$5:$A$17)*(AA338-'Tax Tables'!$A$5:$A$17)*'Tax Tables'!$C$5:$C$17)</f>
        <v>11295</v>
      </c>
      <c r="AC338" s="11" t="n">
        <f aca="false">IF(W338&lt;0,-1E+099,P338-T338-AB338+Y338+(T338+U338)*Calculator!$B$9)</f>
        <v>368417.35</v>
      </c>
    </row>
    <row r="339" customFormat="false" ht="15" hidden="false" customHeight="false" outlineLevel="0" collapsed="false">
      <c r="A339" s="11" t="n">
        <f aca="false">326*$B$3</f>
        <v>163000</v>
      </c>
      <c r="B339" s="11" t="n">
        <f aca="false">0</f>
        <v>0</v>
      </c>
      <c r="C339" s="11" t="n">
        <f aca="false">A339-B339</f>
        <v>163000</v>
      </c>
      <c r="D339" s="11" t="n">
        <f aca="false">IF(Calculator!$B$6="Yes",MIN(B339,'Tax Tables'!$B$31*'Tax Tables'!$B$32),0)</f>
        <v>0</v>
      </c>
      <c r="E339" s="11" t="n">
        <f aca="false">D339*Calculator!$B$7</f>
        <v>0</v>
      </c>
      <c r="F339" s="11" t="n">
        <f aca="false">D339*Calculator!$B$8</f>
        <v>0</v>
      </c>
      <c r="G339" s="11" t="n">
        <f aca="false">IF(B339&gt;0,'Tax Tables'!$B$32*MIN(MAX(B339/'Tax Tables'!$B$32*'Tax Tables'!$B$33,'Tax Tables'!$B$34),'Tax Tables'!$B$35),0)</f>
        <v>0</v>
      </c>
      <c r="H339" s="11" t="n">
        <f aca="false">Calculator!$B$5-A339-F339-G339</f>
        <v>237000</v>
      </c>
      <c r="I339" s="11" t="n">
        <f aca="false">'Tax Tables'!$B$22*(MAX(H339,0)-IF(Calculator!$B$10="Yes",MIN(MAX(H339,0),'Tax Tables'!$B$27)*'Tax Tables'!$B$28+MIN(MAX(MAX(H339,0)-'Tax Tables'!$B$27,0),'Tax Tables'!$B$29)*'Tax Tables'!$B$30,MIN(MAX(H339,0),'Tax Tables'!$B$23)*'Tax Tables'!$B$24+MIN(MAX(MAX(H339,0)-'Tax Tables'!$B$23,0),'Tax Tables'!$B$25)*'Tax Tables'!$B$26))*1-MIN('Tax Tables'!$B$22*(MAX(H339,0)-IF(Calculator!$B$10="Yes",MIN(MAX(H339,0),'Tax Tables'!$B$27)*'Tax Tables'!$B$28+MIN(MAX(MAX(H339,0)-'Tax Tables'!$B$27,0),'Tax Tables'!$B$29)*'Tax Tables'!$B$30,MIN(MAX(H339,0),'Tax Tables'!$B$23)*'Tax Tables'!$B$24+MIN(MAX(MAX(H339,0)-'Tax Tables'!$B$23,0),'Tax Tables'!$B$25)*'Tax Tables'!$B$26))*Calculator!$B$11,Calculator!$B$12)</f>
        <v>22865</v>
      </c>
      <c r="J339" s="11" t="n">
        <f aca="false">MAX(H339,0)-I339</f>
        <v>214135</v>
      </c>
      <c r="K339" s="11" t="n">
        <f aca="false">MIN(IF(A339&gt;0,Calculator!$B$13,0)+E339+Calculator!$B$14,'Tax Tables'!$B$36)</f>
        <v>1000</v>
      </c>
      <c r="L339" s="11" t="n">
        <f aca="false">MAX(A339-K339,0)</f>
        <v>162000</v>
      </c>
      <c r="M339" s="11" t="n">
        <f aca="false">SUMPRODUCT((L339&gt;'Tax Tables'!$A$5:$A$17)*(L339-'Tax Tables'!$A$5:$A$17)*'Tax Tables'!$C$5:$C$17)</f>
        <v>14310</v>
      </c>
      <c r="N339" s="11" t="n">
        <f aca="false">IF(H339&lt;0,-1E+099,A339-E339-M339+J339+(E339+F339)*Calculator!$B$9)</f>
        <v>362825</v>
      </c>
      <c r="O339" s="2"/>
      <c r="P339" s="11" t="n">
        <f aca="false">326*$B$3</f>
        <v>163000</v>
      </c>
      <c r="Q339" s="11" t="n">
        <f aca="false">MIN(P339,'Tax Tables'!$B$31*'Tax Tables'!$B$32)</f>
        <v>96000</v>
      </c>
      <c r="R339" s="11" t="n">
        <f aca="false">P339-Q339</f>
        <v>67000</v>
      </c>
      <c r="S339" s="11" t="n">
        <f aca="false">IF(Calculator!$B$6="Yes",MIN(Q339,'Tax Tables'!$B$31*'Tax Tables'!$B$32),0)</f>
        <v>96000</v>
      </c>
      <c r="T339" s="11" t="n">
        <f aca="false">S339*Calculator!$B$7</f>
        <v>19200</v>
      </c>
      <c r="U339" s="11" t="n">
        <f aca="false">S339*Calculator!$B$8</f>
        <v>16320</v>
      </c>
      <c r="V339" s="11" t="n">
        <f aca="false">IF(Q339&gt;0,'Tax Tables'!$B$32*MIN(MAX(Q339/'Tax Tables'!$B$32*'Tax Tables'!$B$33,'Tax Tables'!$B$34),'Tax Tables'!$B$35),0)</f>
        <v>135</v>
      </c>
      <c r="W339" s="11" t="n">
        <f aca="false">Calculator!$B$5-P339-U339-V339</f>
        <v>220545</v>
      </c>
      <c r="X339" s="11" t="n">
        <f aca="false">'Tax Tables'!$B$22*(MAX(W339,0)-IF(Calculator!$B$10="Yes",MIN(MAX(W339,0),'Tax Tables'!$B$27)*'Tax Tables'!$B$28+MIN(MAX(MAX(W339,0)-'Tax Tables'!$B$27,0),'Tax Tables'!$B$29)*'Tax Tables'!$B$30,MIN(MAX(W339,0),'Tax Tables'!$B$23)*'Tax Tables'!$B$24+MIN(MAX(MAX(W339,0)-'Tax Tables'!$B$23,0),'Tax Tables'!$B$25)*'Tax Tables'!$B$26))*1-MIN('Tax Tables'!$B$22*(MAX(W339,0)-IF(Calculator!$B$10="Yes",MIN(MAX(W339,0),'Tax Tables'!$B$27)*'Tax Tables'!$B$28+MIN(MAX(MAX(W339,0)-'Tax Tables'!$B$27,0),'Tax Tables'!$B$29)*'Tax Tables'!$B$30,MIN(MAX(W339,0),'Tax Tables'!$B$23)*'Tax Tables'!$B$24+MIN(MAX(MAX(W339,0)-'Tax Tables'!$B$23,0),'Tax Tables'!$B$25)*'Tax Tables'!$B$26))*Calculator!$B$11,Calculator!$B$12)</f>
        <v>20067.65</v>
      </c>
      <c r="Y339" s="11" t="n">
        <f aca="false">MAX(W339,0)-X339</f>
        <v>200477.35</v>
      </c>
      <c r="Z339" s="11" t="n">
        <f aca="false">MIN(IF(P339&gt;0,Calculator!$B$13,0)+T339+Calculator!$B$14,'Tax Tables'!$B$36)</f>
        <v>20200</v>
      </c>
      <c r="AA339" s="11" t="n">
        <f aca="false">MAX(P339-Z339,0)</f>
        <v>142800</v>
      </c>
      <c r="AB339" s="11" t="n">
        <f aca="false">SUMPRODUCT((AA339&gt;'Tax Tables'!$A$5:$A$17)*(AA339-'Tax Tables'!$A$5:$A$17)*'Tax Tables'!$C$5:$C$17)</f>
        <v>11370</v>
      </c>
      <c r="AC339" s="11" t="n">
        <f aca="false">IF(W339&lt;0,-1E+099,P339-T339-AB339+Y339+(T339+U339)*Calculator!$B$9)</f>
        <v>368427.35</v>
      </c>
    </row>
    <row r="340" customFormat="false" ht="15" hidden="false" customHeight="false" outlineLevel="0" collapsed="false">
      <c r="A340" s="11" t="n">
        <f aca="false">327*$B$3</f>
        <v>163500</v>
      </c>
      <c r="B340" s="11" t="n">
        <f aca="false">0</f>
        <v>0</v>
      </c>
      <c r="C340" s="11" t="n">
        <f aca="false">A340-B340</f>
        <v>163500</v>
      </c>
      <c r="D340" s="11" t="n">
        <f aca="false">IF(Calculator!$B$6="Yes",MIN(B340,'Tax Tables'!$B$31*'Tax Tables'!$B$32),0)</f>
        <v>0</v>
      </c>
      <c r="E340" s="11" t="n">
        <f aca="false">D340*Calculator!$B$7</f>
        <v>0</v>
      </c>
      <c r="F340" s="11" t="n">
        <f aca="false">D340*Calculator!$B$8</f>
        <v>0</v>
      </c>
      <c r="G340" s="11" t="n">
        <f aca="false">IF(B340&gt;0,'Tax Tables'!$B$32*MIN(MAX(B340/'Tax Tables'!$B$32*'Tax Tables'!$B$33,'Tax Tables'!$B$34),'Tax Tables'!$B$35),0)</f>
        <v>0</v>
      </c>
      <c r="H340" s="11" t="n">
        <f aca="false">Calculator!$B$5-A340-F340-G340</f>
        <v>236500</v>
      </c>
      <c r="I340" s="11" t="n">
        <f aca="false">'Tax Tables'!$B$22*(MAX(H340,0)-IF(Calculator!$B$10="Yes",MIN(MAX(H340,0),'Tax Tables'!$B$27)*'Tax Tables'!$B$28+MIN(MAX(MAX(H340,0)-'Tax Tables'!$B$27,0),'Tax Tables'!$B$29)*'Tax Tables'!$B$30,MIN(MAX(H340,0),'Tax Tables'!$B$23)*'Tax Tables'!$B$24+MIN(MAX(MAX(H340,0)-'Tax Tables'!$B$23,0),'Tax Tables'!$B$25)*'Tax Tables'!$B$26))*1-MIN('Tax Tables'!$B$22*(MAX(H340,0)-IF(Calculator!$B$10="Yes",MIN(MAX(H340,0),'Tax Tables'!$B$27)*'Tax Tables'!$B$28+MIN(MAX(MAX(H340,0)-'Tax Tables'!$B$27,0),'Tax Tables'!$B$29)*'Tax Tables'!$B$30,MIN(MAX(H340,0),'Tax Tables'!$B$23)*'Tax Tables'!$B$24+MIN(MAX(MAX(H340,0)-'Tax Tables'!$B$23,0),'Tax Tables'!$B$25)*'Tax Tables'!$B$26))*Calculator!$B$11,Calculator!$B$12)</f>
        <v>22780</v>
      </c>
      <c r="J340" s="11" t="n">
        <f aca="false">MAX(H340,0)-I340</f>
        <v>213720</v>
      </c>
      <c r="K340" s="11" t="n">
        <f aca="false">MIN(IF(A340&gt;0,Calculator!$B$13,0)+E340+Calculator!$B$14,'Tax Tables'!$B$36)</f>
        <v>1000</v>
      </c>
      <c r="L340" s="11" t="n">
        <f aca="false">MAX(A340-K340,0)</f>
        <v>162500</v>
      </c>
      <c r="M340" s="11" t="n">
        <f aca="false">SUMPRODUCT((L340&gt;'Tax Tables'!$A$5:$A$17)*(L340-'Tax Tables'!$A$5:$A$17)*'Tax Tables'!$C$5:$C$17)</f>
        <v>14400</v>
      </c>
      <c r="N340" s="11" t="n">
        <f aca="false">IF(H340&lt;0,-1E+099,A340-E340-M340+J340+(E340+F340)*Calculator!$B$9)</f>
        <v>362820</v>
      </c>
      <c r="O340" s="2"/>
      <c r="P340" s="11" t="n">
        <f aca="false">327*$B$3</f>
        <v>163500</v>
      </c>
      <c r="Q340" s="11" t="n">
        <f aca="false">MIN(P340,'Tax Tables'!$B$31*'Tax Tables'!$B$32)</f>
        <v>96000</v>
      </c>
      <c r="R340" s="11" t="n">
        <f aca="false">P340-Q340</f>
        <v>67500</v>
      </c>
      <c r="S340" s="11" t="n">
        <f aca="false">IF(Calculator!$B$6="Yes",MIN(Q340,'Tax Tables'!$B$31*'Tax Tables'!$B$32),0)</f>
        <v>96000</v>
      </c>
      <c r="T340" s="11" t="n">
        <f aca="false">S340*Calculator!$B$7</f>
        <v>19200</v>
      </c>
      <c r="U340" s="11" t="n">
        <f aca="false">S340*Calculator!$B$8</f>
        <v>16320</v>
      </c>
      <c r="V340" s="11" t="n">
        <f aca="false">IF(Q340&gt;0,'Tax Tables'!$B$32*MIN(MAX(Q340/'Tax Tables'!$B$32*'Tax Tables'!$B$33,'Tax Tables'!$B$34),'Tax Tables'!$B$35),0)</f>
        <v>135</v>
      </c>
      <c r="W340" s="11" t="n">
        <f aca="false">Calculator!$B$5-P340-U340-V340</f>
        <v>220045</v>
      </c>
      <c r="X340" s="11" t="n">
        <f aca="false">'Tax Tables'!$B$22*(MAX(W340,0)-IF(Calculator!$B$10="Yes",MIN(MAX(W340,0),'Tax Tables'!$B$27)*'Tax Tables'!$B$28+MIN(MAX(MAX(W340,0)-'Tax Tables'!$B$27,0),'Tax Tables'!$B$29)*'Tax Tables'!$B$30,MIN(MAX(W340,0),'Tax Tables'!$B$23)*'Tax Tables'!$B$24+MIN(MAX(MAX(W340,0)-'Tax Tables'!$B$23,0),'Tax Tables'!$B$25)*'Tax Tables'!$B$26))*1-MIN('Tax Tables'!$B$22*(MAX(W340,0)-IF(Calculator!$B$10="Yes",MIN(MAX(W340,0),'Tax Tables'!$B$27)*'Tax Tables'!$B$28+MIN(MAX(MAX(W340,0)-'Tax Tables'!$B$27,0),'Tax Tables'!$B$29)*'Tax Tables'!$B$30,MIN(MAX(W340,0),'Tax Tables'!$B$23)*'Tax Tables'!$B$24+MIN(MAX(MAX(W340,0)-'Tax Tables'!$B$23,0),'Tax Tables'!$B$25)*'Tax Tables'!$B$26))*Calculator!$B$11,Calculator!$B$12)</f>
        <v>19982.65</v>
      </c>
      <c r="Y340" s="11" t="n">
        <f aca="false">MAX(W340,0)-X340</f>
        <v>200062.35</v>
      </c>
      <c r="Z340" s="11" t="n">
        <f aca="false">MIN(IF(P340&gt;0,Calculator!$B$13,0)+T340+Calculator!$B$14,'Tax Tables'!$B$36)</f>
        <v>20200</v>
      </c>
      <c r="AA340" s="11" t="n">
        <f aca="false">MAX(P340-Z340,0)</f>
        <v>143300</v>
      </c>
      <c r="AB340" s="11" t="n">
        <f aca="false">SUMPRODUCT((AA340&gt;'Tax Tables'!$A$5:$A$17)*(AA340-'Tax Tables'!$A$5:$A$17)*'Tax Tables'!$C$5:$C$17)</f>
        <v>11445</v>
      </c>
      <c r="AC340" s="11" t="n">
        <f aca="false">IF(W340&lt;0,-1E+099,P340-T340-AB340+Y340+(T340+U340)*Calculator!$B$9)</f>
        <v>368437.35</v>
      </c>
    </row>
    <row r="341" customFormat="false" ht="15" hidden="false" customHeight="false" outlineLevel="0" collapsed="false">
      <c r="A341" s="11" t="n">
        <f aca="false">328*$B$3</f>
        <v>164000</v>
      </c>
      <c r="B341" s="11" t="n">
        <f aca="false">0</f>
        <v>0</v>
      </c>
      <c r="C341" s="11" t="n">
        <f aca="false">A341-B341</f>
        <v>164000</v>
      </c>
      <c r="D341" s="11" t="n">
        <f aca="false">IF(Calculator!$B$6="Yes",MIN(B341,'Tax Tables'!$B$31*'Tax Tables'!$B$32),0)</f>
        <v>0</v>
      </c>
      <c r="E341" s="11" t="n">
        <f aca="false">D341*Calculator!$B$7</f>
        <v>0</v>
      </c>
      <c r="F341" s="11" t="n">
        <f aca="false">D341*Calculator!$B$8</f>
        <v>0</v>
      </c>
      <c r="G341" s="11" t="n">
        <f aca="false">IF(B341&gt;0,'Tax Tables'!$B$32*MIN(MAX(B341/'Tax Tables'!$B$32*'Tax Tables'!$B$33,'Tax Tables'!$B$34),'Tax Tables'!$B$35),0)</f>
        <v>0</v>
      </c>
      <c r="H341" s="11" t="n">
        <f aca="false">Calculator!$B$5-A341-F341-G341</f>
        <v>236000</v>
      </c>
      <c r="I341" s="11" t="n">
        <f aca="false">'Tax Tables'!$B$22*(MAX(H341,0)-IF(Calculator!$B$10="Yes",MIN(MAX(H341,0),'Tax Tables'!$B$27)*'Tax Tables'!$B$28+MIN(MAX(MAX(H341,0)-'Tax Tables'!$B$27,0),'Tax Tables'!$B$29)*'Tax Tables'!$B$30,MIN(MAX(H341,0),'Tax Tables'!$B$23)*'Tax Tables'!$B$24+MIN(MAX(MAX(H341,0)-'Tax Tables'!$B$23,0),'Tax Tables'!$B$25)*'Tax Tables'!$B$26))*1-MIN('Tax Tables'!$B$22*(MAX(H341,0)-IF(Calculator!$B$10="Yes",MIN(MAX(H341,0),'Tax Tables'!$B$27)*'Tax Tables'!$B$28+MIN(MAX(MAX(H341,0)-'Tax Tables'!$B$27,0),'Tax Tables'!$B$29)*'Tax Tables'!$B$30,MIN(MAX(H341,0),'Tax Tables'!$B$23)*'Tax Tables'!$B$24+MIN(MAX(MAX(H341,0)-'Tax Tables'!$B$23,0),'Tax Tables'!$B$25)*'Tax Tables'!$B$26))*Calculator!$B$11,Calculator!$B$12)</f>
        <v>22695</v>
      </c>
      <c r="J341" s="11" t="n">
        <f aca="false">MAX(H341,0)-I341</f>
        <v>213305</v>
      </c>
      <c r="K341" s="11" t="n">
        <f aca="false">MIN(IF(A341&gt;0,Calculator!$B$13,0)+E341+Calculator!$B$14,'Tax Tables'!$B$36)</f>
        <v>1000</v>
      </c>
      <c r="L341" s="11" t="n">
        <f aca="false">MAX(A341-K341,0)</f>
        <v>163000</v>
      </c>
      <c r="M341" s="11" t="n">
        <f aca="false">SUMPRODUCT((L341&gt;'Tax Tables'!$A$5:$A$17)*(L341-'Tax Tables'!$A$5:$A$17)*'Tax Tables'!$C$5:$C$17)</f>
        <v>14490</v>
      </c>
      <c r="N341" s="11" t="n">
        <f aca="false">IF(H341&lt;0,-1E+099,A341-E341-M341+J341+(E341+F341)*Calculator!$B$9)</f>
        <v>362815</v>
      </c>
      <c r="O341" s="2"/>
      <c r="P341" s="11" t="n">
        <f aca="false">328*$B$3</f>
        <v>164000</v>
      </c>
      <c r="Q341" s="11" t="n">
        <f aca="false">MIN(P341,'Tax Tables'!$B$31*'Tax Tables'!$B$32)</f>
        <v>96000</v>
      </c>
      <c r="R341" s="11" t="n">
        <f aca="false">P341-Q341</f>
        <v>68000</v>
      </c>
      <c r="S341" s="11" t="n">
        <f aca="false">IF(Calculator!$B$6="Yes",MIN(Q341,'Tax Tables'!$B$31*'Tax Tables'!$B$32),0)</f>
        <v>96000</v>
      </c>
      <c r="T341" s="11" t="n">
        <f aca="false">S341*Calculator!$B$7</f>
        <v>19200</v>
      </c>
      <c r="U341" s="11" t="n">
        <f aca="false">S341*Calculator!$B$8</f>
        <v>16320</v>
      </c>
      <c r="V341" s="11" t="n">
        <f aca="false">IF(Q341&gt;0,'Tax Tables'!$B$32*MIN(MAX(Q341/'Tax Tables'!$B$32*'Tax Tables'!$B$33,'Tax Tables'!$B$34),'Tax Tables'!$B$35),0)</f>
        <v>135</v>
      </c>
      <c r="W341" s="11" t="n">
        <f aca="false">Calculator!$B$5-P341-U341-V341</f>
        <v>219545</v>
      </c>
      <c r="X341" s="11" t="n">
        <f aca="false">'Tax Tables'!$B$22*(MAX(W341,0)-IF(Calculator!$B$10="Yes",MIN(MAX(W341,0),'Tax Tables'!$B$27)*'Tax Tables'!$B$28+MIN(MAX(MAX(W341,0)-'Tax Tables'!$B$27,0),'Tax Tables'!$B$29)*'Tax Tables'!$B$30,MIN(MAX(W341,0),'Tax Tables'!$B$23)*'Tax Tables'!$B$24+MIN(MAX(MAX(W341,0)-'Tax Tables'!$B$23,0),'Tax Tables'!$B$25)*'Tax Tables'!$B$26))*1-MIN('Tax Tables'!$B$22*(MAX(W341,0)-IF(Calculator!$B$10="Yes",MIN(MAX(W341,0),'Tax Tables'!$B$27)*'Tax Tables'!$B$28+MIN(MAX(MAX(W341,0)-'Tax Tables'!$B$27,0),'Tax Tables'!$B$29)*'Tax Tables'!$B$30,MIN(MAX(W341,0),'Tax Tables'!$B$23)*'Tax Tables'!$B$24+MIN(MAX(MAX(W341,0)-'Tax Tables'!$B$23,0),'Tax Tables'!$B$25)*'Tax Tables'!$B$26))*Calculator!$B$11,Calculator!$B$12)</f>
        <v>19897.65</v>
      </c>
      <c r="Y341" s="11" t="n">
        <f aca="false">MAX(W341,0)-X341</f>
        <v>199647.35</v>
      </c>
      <c r="Z341" s="11" t="n">
        <f aca="false">MIN(IF(P341&gt;0,Calculator!$B$13,0)+T341+Calculator!$B$14,'Tax Tables'!$B$36)</f>
        <v>20200</v>
      </c>
      <c r="AA341" s="11" t="n">
        <f aca="false">MAX(P341-Z341,0)</f>
        <v>143800</v>
      </c>
      <c r="AB341" s="11" t="n">
        <f aca="false">SUMPRODUCT((AA341&gt;'Tax Tables'!$A$5:$A$17)*(AA341-'Tax Tables'!$A$5:$A$17)*'Tax Tables'!$C$5:$C$17)</f>
        <v>11520</v>
      </c>
      <c r="AC341" s="11" t="n">
        <f aca="false">IF(W341&lt;0,-1E+099,P341-T341-AB341+Y341+(T341+U341)*Calculator!$B$9)</f>
        <v>368447.35</v>
      </c>
    </row>
    <row r="342" customFormat="false" ht="15" hidden="false" customHeight="false" outlineLevel="0" collapsed="false">
      <c r="A342" s="11" t="n">
        <f aca="false">329*$B$3</f>
        <v>164500</v>
      </c>
      <c r="B342" s="11" t="n">
        <f aca="false">0</f>
        <v>0</v>
      </c>
      <c r="C342" s="11" t="n">
        <f aca="false">A342-B342</f>
        <v>164500</v>
      </c>
      <c r="D342" s="11" t="n">
        <f aca="false">IF(Calculator!$B$6="Yes",MIN(B342,'Tax Tables'!$B$31*'Tax Tables'!$B$32),0)</f>
        <v>0</v>
      </c>
      <c r="E342" s="11" t="n">
        <f aca="false">D342*Calculator!$B$7</f>
        <v>0</v>
      </c>
      <c r="F342" s="11" t="n">
        <f aca="false">D342*Calculator!$B$8</f>
        <v>0</v>
      </c>
      <c r="G342" s="11" t="n">
        <f aca="false">IF(B342&gt;0,'Tax Tables'!$B$32*MIN(MAX(B342/'Tax Tables'!$B$32*'Tax Tables'!$B$33,'Tax Tables'!$B$34),'Tax Tables'!$B$35),0)</f>
        <v>0</v>
      </c>
      <c r="H342" s="11" t="n">
        <f aca="false">Calculator!$B$5-A342-F342-G342</f>
        <v>235500</v>
      </c>
      <c r="I342" s="11" t="n">
        <f aca="false">'Tax Tables'!$B$22*(MAX(H342,0)-IF(Calculator!$B$10="Yes",MIN(MAX(H342,0),'Tax Tables'!$B$27)*'Tax Tables'!$B$28+MIN(MAX(MAX(H342,0)-'Tax Tables'!$B$27,0),'Tax Tables'!$B$29)*'Tax Tables'!$B$30,MIN(MAX(H342,0),'Tax Tables'!$B$23)*'Tax Tables'!$B$24+MIN(MAX(MAX(H342,0)-'Tax Tables'!$B$23,0),'Tax Tables'!$B$25)*'Tax Tables'!$B$26))*1-MIN('Tax Tables'!$B$22*(MAX(H342,0)-IF(Calculator!$B$10="Yes",MIN(MAX(H342,0),'Tax Tables'!$B$27)*'Tax Tables'!$B$28+MIN(MAX(MAX(H342,0)-'Tax Tables'!$B$27,0),'Tax Tables'!$B$29)*'Tax Tables'!$B$30,MIN(MAX(H342,0),'Tax Tables'!$B$23)*'Tax Tables'!$B$24+MIN(MAX(MAX(H342,0)-'Tax Tables'!$B$23,0),'Tax Tables'!$B$25)*'Tax Tables'!$B$26))*Calculator!$B$11,Calculator!$B$12)</f>
        <v>22610</v>
      </c>
      <c r="J342" s="11" t="n">
        <f aca="false">MAX(H342,0)-I342</f>
        <v>212890</v>
      </c>
      <c r="K342" s="11" t="n">
        <f aca="false">MIN(IF(A342&gt;0,Calculator!$B$13,0)+E342+Calculator!$B$14,'Tax Tables'!$B$36)</f>
        <v>1000</v>
      </c>
      <c r="L342" s="11" t="n">
        <f aca="false">MAX(A342-K342,0)</f>
        <v>163500</v>
      </c>
      <c r="M342" s="11" t="n">
        <f aca="false">SUMPRODUCT((L342&gt;'Tax Tables'!$A$5:$A$17)*(L342-'Tax Tables'!$A$5:$A$17)*'Tax Tables'!$C$5:$C$17)</f>
        <v>14580</v>
      </c>
      <c r="N342" s="11" t="n">
        <f aca="false">IF(H342&lt;0,-1E+099,A342-E342-M342+J342+(E342+F342)*Calculator!$B$9)</f>
        <v>362810</v>
      </c>
      <c r="O342" s="2"/>
      <c r="P342" s="11" t="n">
        <f aca="false">329*$B$3</f>
        <v>164500</v>
      </c>
      <c r="Q342" s="11" t="n">
        <f aca="false">MIN(P342,'Tax Tables'!$B$31*'Tax Tables'!$B$32)</f>
        <v>96000</v>
      </c>
      <c r="R342" s="11" t="n">
        <f aca="false">P342-Q342</f>
        <v>68500</v>
      </c>
      <c r="S342" s="11" t="n">
        <f aca="false">IF(Calculator!$B$6="Yes",MIN(Q342,'Tax Tables'!$B$31*'Tax Tables'!$B$32),0)</f>
        <v>96000</v>
      </c>
      <c r="T342" s="11" t="n">
        <f aca="false">S342*Calculator!$B$7</f>
        <v>19200</v>
      </c>
      <c r="U342" s="11" t="n">
        <f aca="false">S342*Calculator!$B$8</f>
        <v>16320</v>
      </c>
      <c r="V342" s="11" t="n">
        <f aca="false">IF(Q342&gt;0,'Tax Tables'!$B$32*MIN(MAX(Q342/'Tax Tables'!$B$32*'Tax Tables'!$B$33,'Tax Tables'!$B$34),'Tax Tables'!$B$35),0)</f>
        <v>135</v>
      </c>
      <c r="W342" s="11" t="n">
        <f aca="false">Calculator!$B$5-P342-U342-V342</f>
        <v>219045</v>
      </c>
      <c r="X342" s="11" t="n">
        <f aca="false">'Tax Tables'!$B$22*(MAX(W342,0)-IF(Calculator!$B$10="Yes",MIN(MAX(W342,0),'Tax Tables'!$B$27)*'Tax Tables'!$B$28+MIN(MAX(MAX(W342,0)-'Tax Tables'!$B$27,0),'Tax Tables'!$B$29)*'Tax Tables'!$B$30,MIN(MAX(W342,0),'Tax Tables'!$B$23)*'Tax Tables'!$B$24+MIN(MAX(MAX(W342,0)-'Tax Tables'!$B$23,0),'Tax Tables'!$B$25)*'Tax Tables'!$B$26))*1-MIN('Tax Tables'!$B$22*(MAX(W342,0)-IF(Calculator!$B$10="Yes",MIN(MAX(W342,0),'Tax Tables'!$B$27)*'Tax Tables'!$B$28+MIN(MAX(MAX(W342,0)-'Tax Tables'!$B$27,0),'Tax Tables'!$B$29)*'Tax Tables'!$B$30,MIN(MAX(W342,0),'Tax Tables'!$B$23)*'Tax Tables'!$B$24+MIN(MAX(MAX(W342,0)-'Tax Tables'!$B$23,0),'Tax Tables'!$B$25)*'Tax Tables'!$B$26))*Calculator!$B$11,Calculator!$B$12)</f>
        <v>19812.65</v>
      </c>
      <c r="Y342" s="11" t="n">
        <f aca="false">MAX(W342,0)-X342</f>
        <v>199232.35</v>
      </c>
      <c r="Z342" s="11" t="n">
        <f aca="false">MIN(IF(P342&gt;0,Calculator!$B$13,0)+T342+Calculator!$B$14,'Tax Tables'!$B$36)</f>
        <v>20200</v>
      </c>
      <c r="AA342" s="11" t="n">
        <f aca="false">MAX(P342-Z342,0)</f>
        <v>144300</v>
      </c>
      <c r="AB342" s="11" t="n">
        <f aca="false">SUMPRODUCT((AA342&gt;'Tax Tables'!$A$5:$A$17)*(AA342-'Tax Tables'!$A$5:$A$17)*'Tax Tables'!$C$5:$C$17)</f>
        <v>11595</v>
      </c>
      <c r="AC342" s="11" t="n">
        <f aca="false">IF(W342&lt;0,-1E+099,P342-T342-AB342+Y342+(T342+U342)*Calculator!$B$9)</f>
        <v>368457.35</v>
      </c>
    </row>
    <row r="343" customFormat="false" ht="15" hidden="false" customHeight="false" outlineLevel="0" collapsed="false">
      <c r="A343" s="11" t="n">
        <f aca="false">330*$B$3</f>
        <v>165000</v>
      </c>
      <c r="B343" s="11" t="n">
        <f aca="false">0</f>
        <v>0</v>
      </c>
      <c r="C343" s="11" t="n">
        <f aca="false">A343-B343</f>
        <v>165000</v>
      </c>
      <c r="D343" s="11" t="n">
        <f aca="false">IF(Calculator!$B$6="Yes",MIN(B343,'Tax Tables'!$B$31*'Tax Tables'!$B$32),0)</f>
        <v>0</v>
      </c>
      <c r="E343" s="11" t="n">
        <f aca="false">D343*Calculator!$B$7</f>
        <v>0</v>
      </c>
      <c r="F343" s="11" t="n">
        <f aca="false">D343*Calculator!$B$8</f>
        <v>0</v>
      </c>
      <c r="G343" s="11" t="n">
        <f aca="false">IF(B343&gt;0,'Tax Tables'!$B$32*MIN(MAX(B343/'Tax Tables'!$B$32*'Tax Tables'!$B$33,'Tax Tables'!$B$34),'Tax Tables'!$B$35),0)</f>
        <v>0</v>
      </c>
      <c r="H343" s="11" t="n">
        <f aca="false">Calculator!$B$5-A343-F343-G343</f>
        <v>235000</v>
      </c>
      <c r="I343" s="11" t="n">
        <f aca="false">'Tax Tables'!$B$22*(MAX(H343,0)-IF(Calculator!$B$10="Yes",MIN(MAX(H343,0),'Tax Tables'!$B$27)*'Tax Tables'!$B$28+MIN(MAX(MAX(H343,0)-'Tax Tables'!$B$27,0),'Tax Tables'!$B$29)*'Tax Tables'!$B$30,MIN(MAX(H343,0),'Tax Tables'!$B$23)*'Tax Tables'!$B$24+MIN(MAX(MAX(H343,0)-'Tax Tables'!$B$23,0),'Tax Tables'!$B$25)*'Tax Tables'!$B$26))*1-MIN('Tax Tables'!$B$22*(MAX(H343,0)-IF(Calculator!$B$10="Yes",MIN(MAX(H343,0),'Tax Tables'!$B$27)*'Tax Tables'!$B$28+MIN(MAX(MAX(H343,0)-'Tax Tables'!$B$27,0),'Tax Tables'!$B$29)*'Tax Tables'!$B$30,MIN(MAX(H343,0),'Tax Tables'!$B$23)*'Tax Tables'!$B$24+MIN(MAX(MAX(H343,0)-'Tax Tables'!$B$23,0),'Tax Tables'!$B$25)*'Tax Tables'!$B$26))*Calculator!$B$11,Calculator!$B$12)</f>
        <v>22525</v>
      </c>
      <c r="J343" s="11" t="n">
        <f aca="false">MAX(H343,0)-I343</f>
        <v>212475</v>
      </c>
      <c r="K343" s="11" t="n">
        <f aca="false">MIN(IF(A343&gt;0,Calculator!$B$13,0)+E343+Calculator!$B$14,'Tax Tables'!$B$36)</f>
        <v>1000</v>
      </c>
      <c r="L343" s="11" t="n">
        <f aca="false">MAX(A343-K343,0)</f>
        <v>164000</v>
      </c>
      <c r="M343" s="11" t="n">
        <f aca="false">SUMPRODUCT((L343&gt;'Tax Tables'!$A$5:$A$17)*(L343-'Tax Tables'!$A$5:$A$17)*'Tax Tables'!$C$5:$C$17)</f>
        <v>14670</v>
      </c>
      <c r="N343" s="11" t="n">
        <f aca="false">IF(H343&lt;0,-1E+099,A343-E343-M343+J343+(E343+F343)*Calculator!$B$9)</f>
        <v>362805</v>
      </c>
      <c r="O343" s="2"/>
      <c r="P343" s="11" t="n">
        <f aca="false">330*$B$3</f>
        <v>165000</v>
      </c>
      <c r="Q343" s="11" t="n">
        <f aca="false">MIN(P343,'Tax Tables'!$B$31*'Tax Tables'!$B$32)</f>
        <v>96000</v>
      </c>
      <c r="R343" s="11" t="n">
        <f aca="false">P343-Q343</f>
        <v>69000</v>
      </c>
      <c r="S343" s="11" t="n">
        <f aca="false">IF(Calculator!$B$6="Yes",MIN(Q343,'Tax Tables'!$B$31*'Tax Tables'!$B$32),0)</f>
        <v>96000</v>
      </c>
      <c r="T343" s="11" t="n">
        <f aca="false">S343*Calculator!$B$7</f>
        <v>19200</v>
      </c>
      <c r="U343" s="11" t="n">
        <f aca="false">S343*Calculator!$B$8</f>
        <v>16320</v>
      </c>
      <c r="V343" s="11" t="n">
        <f aca="false">IF(Q343&gt;0,'Tax Tables'!$B$32*MIN(MAX(Q343/'Tax Tables'!$B$32*'Tax Tables'!$B$33,'Tax Tables'!$B$34),'Tax Tables'!$B$35),0)</f>
        <v>135</v>
      </c>
      <c r="W343" s="11" t="n">
        <f aca="false">Calculator!$B$5-P343-U343-V343</f>
        <v>218545</v>
      </c>
      <c r="X343" s="11" t="n">
        <f aca="false">'Tax Tables'!$B$22*(MAX(W343,0)-IF(Calculator!$B$10="Yes",MIN(MAX(W343,0),'Tax Tables'!$B$27)*'Tax Tables'!$B$28+MIN(MAX(MAX(W343,0)-'Tax Tables'!$B$27,0),'Tax Tables'!$B$29)*'Tax Tables'!$B$30,MIN(MAX(W343,0),'Tax Tables'!$B$23)*'Tax Tables'!$B$24+MIN(MAX(MAX(W343,0)-'Tax Tables'!$B$23,0),'Tax Tables'!$B$25)*'Tax Tables'!$B$26))*1-MIN('Tax Tables'!$B$22*(MAX(W343,0)-IF(Calculator!$B$10="Yes",MIN(MAX(W343,0),'Tax Tables'!$B$27)*'Tax Tables'!$B$28+MIN(MAX(MAX(W343,0)-'Tax Tables'!$B$27,0),'Tax Tables'!$B$29)*'Tax Tables'!$B$30,MIN(MAX(W343,0),'Tax Tables'!$B$23)*'Tax Tables'!$B$24+MIN(MAX(MAX(W343,0)-'Tax Tables'!$B$23,0),'Tax Tables'!$B$25)*'Tax Tables'!$B$26))*Calculator!$B$11,Calculator!$B$12)</f>
        <v>19727.65</v>
      </c>
      <c r="Y343" s="11" t="n">
        <f aca="false">MAX(W343,0)-X343</f>
        <v>198817.35</v>
      </c>
      <c r="Z343" s="11" t="n">
        <f aca="false">MIN(IF(P343&gt;0,Calculator!$B$13,0)+T343+Calculator!$B$14,'Tax Tables'!$B$36)</f>
        <v>20200</v>
      </c>
      <c r="AA343" s="11" t="n">
        <f aca="false">MAX(P343-Z343,0)</f>
        <v>144800</v>
      </c>
      <c r="AB343" s="11" t="n">
        <f aca="false">SUMPRODUCT((AA343&gt;'Tax Tables'!$A$5:$A$17)*(AA343-'Tax Tables'!$A$5:$A$17)*'Tax Tables'!$C$5:$C$17)</f>
        <v>11670</v>
      </c>
      <c r="AC343" s="11" t="n">
        <f aca="false">IF(W343&lt;0,-1E+099,P343-T343-AB343+Y343+(T343+U343)*Calculator!$B$9)</f>
        <v>368467.35</v>
      </c>
    </row>
    <row r="344" customFormat="false" ht="15" hidden="false" customHeight="false" outlineLevel="0" collapsed="false">
      <c r="A344" s="11" t="n">
        <f aca="false">331*$B$3</f>
        <v>165500</v>
      </c>
      <c r="B344" s="11" t="n">
        <f aca="false">0</f>
        <v>0</v>
      </c>
      <c r="C344" s="11" t="n">
        <f aca="false">A344-B344</f>
        <v>165500</v>
      </c>
      <c r="D344" s="11" t="n">
        <f aca="false">IF(Calculator!$B$6="Yes",MIN(B344,'Tax Tables'!$B$31*'Tax Tables'!$B$32),0)</f>
        <v>0</v>
      </c>
      <c r="E344" s="11" t="n">
        <f aca="false">D344*Calculator!$B$7</f>
        <v>0</v>
      </c>
      <c r="F344" s="11" t="n">
        <f aca="false">D344*Calculator!$B$8</f>
        <v>0</v>
      </c>
      <c r="G344" s="11" t="n">
        <f aca="false">IF(B344&gt;0,'Tax Tables'!$B$32*MIN(MAX(B344/'Tax Tables'!$B$32*'Tax Tables'!$B$33,'Tax Tables'!$B$34),'Tax Tables'!$B$35),0)</f>
        <v>0</v>
      </c>
      <c r="H344" s="11" t="n">
        <f aca="false">Calculator!$B$5-A344-F344-G344</f>
        <v>234500</v>
      </c>
      <c r="I344" s="11" t="n">
        <f aca="false">'Tax Tables'!$B$22*(MAX(H344,0)-IF(Calculator!$B$10="Yes",MIN(MAX(H344,0),'Tax Tables'!$B$27)*'Tax Tables'!$B$28+MIN(MAX(MAX(H344,0)-'Tax Tables'!$B$27,0),'Tax Tables'!$B$29)*'Tax Tables'!$B$30,MIN(MAX(H344,0),'Tax Tables'!$B$23)*'Tax Tables'!$B$24+MIN(MAX(MAX(H344,0)-'Tax Tables'!$B$23,0),'Tax Tables'!$B$25)*'Tax Tables'!$B$26))*1-MIN('Tax Tables'!$B$22*(MAX(H344,0)-IF(Calculator!$B$10="Yes",MIN(MAX(H344,0),'Tax Tables'!$B$27)*'Tax Tables'!$B$28+MIN(MAX(MAX(H344,0)-'Tax Tables'!$B$27,0),'Tax Tables'!$B$29)*'Tax Tables'!$B$30,MIN(MAX(H344,0),'Tax Tables'!$B$23)*'Tax Tables'!$B$24+MIN(MAX(MAX(H344,0)-'Tax Tables'!$B$23,0),'Tax Tables'!$B$25)*'Tax Tables'!$B$26))*Calculator!$B$11,Calculator!$B$12)</f>
        <v>22440</v>
      </c>
      <c r="J344" s="11" t="n">
        <f aca="false">MAX(H344,0)-I344</f>
        <v>212060</v>
      </c>
      <c r="K344" s="11" t="n">
        <f aca="false">MIN(IF(A344&gt;0,Calculator!$B$13,0)+E344+Calculator!$B$14,'Tax Tables'!$B$36)</f>
        <v>1000</v>
      </c>
      <c r="L344" s="11" t="n">
        <f aca="false">MAX(A344-K344,0)</f>
        <v>164500</v>
      </c>
      <c r="M344" s="11" t="n">
        <f aca="false">SUMPRODUCT((L344&gt;'Tax Tables'!$A$5:$A$17)*(L344-'Tax Tables'!$A$5:$A$17)*'Tax Tables'!$C$5:$C$17)</f>
        <v>14760</v>
      </c>
      <c r="N344" s="11" t="n">
        <f aca="false">IF(H344&lt;0,-1E+099,A344-E344-M344+J344+(E344+F344)*Calculator!$B$9)</f>
        <v>362800</v>
      </c>
      <c r="O344" s="2"/>
      <c r="P344" s="11" t="n">
        <f aca="false">331*$B$3</f>
        <v>165500</v>
      </c>
      <c r="Q344" s="11" t="n">
        <f aca="false">MIN(P344,'Tax Tables'!$B$31*'Tax Tables'!$B$32)</f>
        <v>96000</v>
      </c>
      <c r="R344" s="11" t="n">
        <f aca="false">P344-Q344</f>
        <v>69500</v>
      </c>
      <c r="S344" s="11" t="n">
        <f aca="false">IF(Calculator!$B$6="Yes",MIN(Q344,'Tax Tables'!$B$31*'Tax Tables'!$B$32),0)</f>
        <v>96000</v>
      </c>
      <c r="T344" s="11" t="n">
        <f aca="false">S344*Calculator!$B$7</f>
        <v>19200</v>
      </c>
      <c r="U344" s="11" t="n">
        <f aca="false">S344*Calculator!$B$8</f>
        <v>16320</v>
      </c>
      <c r="V344" s="11" t="n">
        <f aca="false">IF(Q344&gt;0,'Tax Tables'!$B$32*MIN(MAX(Q344/'Tax Tables'!$B$32*'Tax Tables'!$B$33,'Tax Tables'!$B$34),'Tax Tables'!$B$35),0)</f>
        <v>135</v>
      </c>
      <c r="W344" s="11" t="n">
        <f aca="false">Calculator!$B$5-P344-U344-V344</f>
        <v>218045</v>
      </c>
      <c r="X344" s="11" t="n">
        <f aca="false">'Tax Tables'!$B$22*(MAX(W344,0)-IF(Calculator!$B$10="Yes",MIN(MAX(W344,0),'Tax Tables'!$B$27)*'Tax Tables'!$B$28+MIN(MAX(MAX(W344,0)-'Tax Tables'!$B$27,0),'Tax Tables'!$B$29)*'Tax Tables'!$B$30,MIN(MAX(W344,0),'Tax Tables'!$B$23)*'Tax Tables'!$B$24+MIN(MAX(MAX(W344,0)-'Tax Tables'!$B$23,0),'Tax Tables'!$B$25)*'Tax Tables'!$B$26))*1-MIN('Tax Tables'!$B$22*(MAX(W344,0)-IF(Calculator!$B$10="Yes",MIN(MAX(W344,0),'Tax Tables'!$B$27)*'Tax Tables'!$B$28+MIN(MAX(MAX(W344,0)-'Tax Tables'!$B$27,0),'Tax Tables'!$B$29)*'Tax Tables'!$B$30,MIN(MAX(W344,0),'Tax Tables'!$B$23)*'Tax Tables'!$B$24+MIN(MAX(MAX(W344,0)-'Tax Tables'!$B$23,0),'Tax Tables'!$B$25)*'Tax Tables'!$B$26))*Calculator!$B$11,Calculator!$B$12)</f>
        <v>19642.65</v>
      </c>
      <c r="Y344" s="11" t="n">
        <f aca="false">MAX(W344,0)-X344</f>
        <v>198402.35</v>
      </c>
      <c r="Z344" s="11" t="n">
        <f aca="false">MIN(IF(P344&gt;0,Calculator!$B$13,0)+T344+Calculator!$B$14,'Tax Tables'!$B$36)</f>
        <v>20200</v>
      </c>
      <c r="AA344" s="11" t="n">
        <f aca="false">MAX(P344-Z344,0)</f>
        <v>145300</v>
      </c>
      <c r="AB344" s="11" t="n">
        <f aca="false">SUMPRODUCT((AA344&gt;'Tax Tables'!$A$5:$A$17)*(AA344-'Tax Tables'!$A$5:$A$17)*'Tax Tables'!$C$5:$C$17)</f>
        <v>11745</v>
      </c>
      <c r="AC344" s="11" t="n">
        <f aca="false">IF(W344&lt;0,-1E+099,P344-T344-AB344+Y344+(T344+U344)*Calculator!$B$9)</f>
        <v>368477.35</v>
      </c>
    </row>
    <row r="345" customFormat="false" ht="15" hidden="false" customHeight="false" outlineLevel="0" collapsed="false">
      <c r="A345" s="11" t="n">
        <f aca="false">332*$B$3</f>
        <v>166000</v>
      </c>
      <c r="B345" s="11" t="n">
        <f aca="false">0</f>
        <v>0</v>
      </c>
      <c r="C345" s="11" t="n">
        <f aca="false">A345-B345</f>
        <v>166000</v>
      </c>
      <c r="D345" s="11" t="n">
        <f aca="false">IF(Calculator!$B$6="Yes",MIN(B345,'Tax Tables'!$B$31*'Tax Tables'!$B$32),0)</f>
        <v>0</v>
      </c>
      <c r="E345" s="11" t="n">
        <f aca="false">D345*Calculator!$B$7</f>
        <v>0</v>
      </c>
      <c r="F345" s="11" t="n">
        <f aca="false">D345*Calculator!$B$8</f>
        <v>0</v>
      </c>
      <c r="G345" s="11" t="n">
        <f aca="false">IF(B345&gt;0,'Tax Tables'!$B$32*MIN(MAX(B345/'Tax Tables'!$B$32*'Tax Tables'!$B$33,'Tax Tables'!$B$34),'Tax Tables'!$B$35),0)</f>
        <v>0</v>
      </c>
      <c r="H345" s="11" t="n">
        <f aca="false">Calculator!$B$5-A345-F345-G345</f>
        <v>234000</v>
      </c>
      <c r="I345" s="11" t="n">
        <f aca="false">'Tax Tables'!$B$22*(MAX(H345,0)-IF(Calculator!$B$10="Yes",MIN(MAX(H345,0),'Tax Tables'!$B$27)*'Tax Tables'!$B$28+MIN(MAX(MAX(H345,0)-'Tax Tables'!$B$27,0),'Tax Tables'!$B$29)*'Tax Tables'!$B$30,MIN(MAX(H345,0),'Tax Tables'!$B$23)*'Tax Tables'!$B$24+MIN(MAX(MAX(H345,0)-'Tax Tables'!$B$23,0),'Tax Tables'!$B$25)*'Tax Tables'!$B$26))*1-MIN('Tax Tables'!$B$22*(MAX(H345,0)-IF(Calculator!$B$10="Yes",MIN(MAX(H345,0),'Tax Tables'!$B$27)*'Tax Tables'!$B$28+MIN(MAX(MAX(H345,0)-'Tax Tables'!$B$27,0),'Tax Tables'!$B$29)*'Tax Tables'!$B$30,MIN(MAX(H345,0),'Tax Tables'!$B$23)*'Tax Tables'!$B$24+MIN(MAX(MAX(H345,0)-'Tax Tables'!$B$23,0),'Tax Tables'!$B$25)*'Tax Tables'!$B$26))*Calculator!$B$11,Calculator!$B$12)</f>
        <v>22355</v>
      </c>
      <c r="J345" s="11" t="n">
        <f aca="false">MAX(H345,0)-I345</f>
        <v>211645</v>
      </c>
      <c r="K345" s="11" t="n">
        <f aca="false">MIN(IF(A345&gt;0,Calculator!$B$13,0)+E345+Calculator!$B$14,'Tax Tables'!$B$36)</f>
        <v>1000</v>
      </c>
      <c r="L345" s="11" t="n">
        <f aca="false">MAX(A345-K345,0)</f>
        <v>165000</v>
      </c>
      <c r="M345" s="11" t="n">
        <f aca="false">SUMPRODUCT((L345&gt;'Tax Tables'!$A$5:$A$17)*(L345-'Tax Tables'!$A$5:$A$17)*'Tax Tables'!$C$5:$C$17)</f>
        <v>14850</v>
      </c>
      <c r="N345" s="11" t="n">
        <f aca="false">IF(H345&lt;0,-1E+099,A345-E345-M345+J345+(E345+F345)*Calculator!$B$9)</f>
        <v>362795</v>
      </c>
      <c r="O345" s="2"/>
      <c r="P345" s="11" t="n">
        <f aca="false">332*$B$3</f>
        <v>166000</v>
      </c>
      <c r="Q345" s="11" t="n">
        <f aca="false">MIN(P345,'Tax Tables'!$B$31*'Tax Tables'!$B$32)</f>
        <v>96000</v>
      </c>
      <c r="R345" s="11" t="n">
        <f aca="false">P345-Q345</f>
        <v>70000</v>
      </c>
      <c r="S345" s="11" t="n">
        <f aca="false">IF(Calculator!$B$6="Yes",MIN(Q345,'Tax Tables'!$B$31*'Tax Tables'!$B$32),0)</f>
        <v>96000</v>
      </c>
      <c r="T345" s="11" t="n">
        <f aca="false">S345*Calculator!$B$7</f>
        <v>19200</v>
      </c>
      <c r="U345" s="11" t="n">
        <f aca="false">S345*Calculator!$B$8</f>
        <v>16320</v>
      </c>
      <c r="V345" s="11" t="n">
        <f aca="false">IF(Q345&gt;0,'Tax Tables'!$B$32*MIN(MAX(Q345/'Tax Tables'!$B$32*'Tax Tables'!$B$33,'Tax Tables'!$B$34),'Tax Tables'!$B$35),0)</f>
        <v>135</v>
      </c>
      <c r="W345" s="11" t="n">
        <f aca="false">Calculator!$B$5-P345-U345-V345</f>
        <v>217545</v>
      </c>
      <c r="X345" s="11" t="n">
        <f aca="false">'Tax Tables'!$B$22*(MAX(W345,0)-IF(Calculator!$B$10="Yes",MIN(MAX(W345,0),'Tax Tables'!$B$27)*'Tax Tables'!$B$28+MIN(MAX(MAX(W345,0)-'Tax Tables'!$B$27,0),'Tax Tables'!$B$29)*'Tax Tables'!$B$30,MIN(MAX(W345,0),'Tax Tables'!$B$23)*'Tax Tables'!$B$24+MIN(MAX(MAX(W345,0)-'Tax Tables'!$B$23,0),'Tax Tables'!$B$25)*'Tax Tables'!$B$26))*1-MIN('Tax Tables'!$B$22*(MAX(W345,0)-IF(Calculator!$B$10="Yes",MIN(MAX(W345,0),'Tax Tables'!$B$27)*'Tax Tables'!$B$28+MIN(MAX(MAX(W345,0)-'Tax Tables'!$B$27,0),'Tax Tables'!$B$29)*'Tax Tables'!$B$30,MIN(MAX(W345,0),'Tax Tables'!$B$23)*'Tax Tables'!$B$24+MIN(MAX(MAX(W345,0)-'Tax Tables'!$B$23,0),'Tax Tables'!$B$25)*'Tax Tables'!$B$26))*Calculator!$B$11,Calculator!$B$12)</f>
        <v>19557.65</v>
      </c>
      <c r="Y345" s="11" t="n">
        <f aca="false">MAX(W345,0)-X345</f>
        <v>197987.35</v>
      </c>
      <c r="Z345" s="11" t="n">
        <f aca="false">MIN(IF(P345&gt;0,Calculator!$B$13,0)+T345+Calculator!$B$14,'Tax Tables'!$B$36)</f>
        <v>20200</v>
      </c>
      <c r="AA345" s="11" t="n">
        <f aca="false">MAX(P345-Z345,0)</f>
        <v>145800</v>
      </c>
      <c r="AB345" s="11" t="n">
        <f aca="false">SUMPRODUCT((AA345&gt;'Tax Tables'!$A$5:$A$17)*(AA345-'Tax Tables'!$A$5:$A$17)*'Tax Tables'!$C$5:$C$17)</f>
        <v>11820</v>
      </c>
      <c r="AC345" s="11" t="n">
        <f aca="false">IF(W345&lt;0,-1E+099,P345-T345-AB345+Y345+(T345+U345)*Calculator!$B$9)</f>
        <v>368487.35</v>
      </c>
    </row>
    <row r="346" customFormat="false" ht="15" hidden="false" customHeight="false" outlineLevel="0" collapsed="false">
      <c r="A346" s="11" t="n">
        <f aca="false">333*$B$3</f>
        <v>166500</v>
      </c>
      <c r="B346" s="11" t="n">
        <f aca="false">0</f>
        <v>0</v>
      </c>
      <c r="C346" s="11" t="n">
        <f aca="false">A346-B346</f>
        <v>166500</v>
      </c>
      <c r="D346" s="11" t="n">
        <f aca="false">IF(Calculator!$B$6="Yes",MIN(B346,'Tax Tables'!$B$31*'Tax Tables'!$B$32),0)</f>
        <v>0</v>
      </c>
      <c r="E346" s="11" t="n">
        <f aca="false">D346*Calculator!$B$7</f>
        <v>0</v>
      </c>
      <c r="F346" s="11" t="n">
        <f aca="false">D346*Calculator!$B$8</f>
        <v>0</v>
      </c>
      <c r="G346" s="11" t="n">
        <f aca="false">IF(B346&gt;0,'Tax Tables'!$B$32*MIN(MAX(B346/'Tax Tables'!$B$32*'Tax Tables'!$B$33,'Tax Tables'!$B$34),'Tax Tables'!$B$35),0)</f>
        <v>0</v>
      </c>
      <c r="H346" s="11" t="n">
        <f aca="false">Calculator!$B$5-A346-F346-G346</f>
        <v>233500</v>
      </c>
      <c r="I346" s="11" t="n">
        <f aca="false">'Tax Tables'!$B$22*(MAX(H346,0)-IF(Calculator!$B$10="Yes",MIN(MAX(H346,0),'Tax Tables'!$B$27)*'Tax Tables'!$B$28+MIN(MAX(MAX(H346,0)-'Tax Tables'!$B$27,0),'Tax Tables'!$B$29)*'Tax Tables'!$B$30,MIN(MAX(H346,0),'Tax Tables'!$B$23)*'Tax Tables'!$B$24+MIN(MAX(MAX(H346,0)-'Tax Tables'!$B$23,0),'Tax Tables'!$B$25)*'Tax Tables'!$B$26))*1-MIN('Tax Tables'!$B$22*(MAX(H346,0)-IF(Calculator!$B$10="Yes",MIN(MAX(H346,0),'Tax Tables'!$B$27)*'Tax Tables'!$B$28+MIN(MAX(MAX(H346,0)-'Tax Tables'!$B$27,0),'Tax Tables'!$B$29)*'Tax Tables'!$B$30,MIN(MAX(H346,0),'Tax Tables'!$B$23)*'Tax Tables'!$B$24+MIN(MAX(MAX(H346,0)-'Tax Tables'!$B$23,0),'Tax Tables'!$B$25)*'Tax Tables'!$B$26))*Calculator!$B$11,Calculator!$B$12)</f>
        <v>22270</v>
      </c>
      <c r="J346" s="11" t="n">
        <f aca="false">MAX(H346,0)-I346</f>
        <v>211230</v>
      </c>
      <c r="K346" s="11" t="n">
        <f aca="false">MIN(IF(A346&gt;0,Calculator!$B$13,0)+E346+Calculator!$B$14,'Tax Tables'!$B$36)</f>
        <v>1000</v>
      </c>
      <c r="L346" s="11" t="n">
        <f aca="false">MAX(A346-K346,0)</f>
        <v>165500</v>
      </c>
      <c r="M346" s="11" t="n">
        <f aca="false">SUMPRODUCT((L346&gt;'Tax Tables'!$A$5:$A$17)*(L346-'Tax Tables'!$A$5:$A$17)*'Tax Tables'!$C$5:$C$17)</f>
        <v>14940</v>
      </c>
      <c r="N346" s="11" t="n">
        <f aca="false">IF(H346&lt;0,-1E+099,A346-E346-M346+J346+(E346+F346)*Calculator!$B$9)</f>
        <v>362790</v>
      </c>
      <c r="O346" s="2"/>
      <c r="P346" s="11" t="n">
        <f aca="false">333*$B$3</f>
        <v>166500</v>
      </c>
      <c r="Q346" s="11" t="n">
        <f aca="false">MIN(P346,'Tax Tables'!$B$31*'Tax Tables'!$B$32)</f>
        <v>96000</v>
      </c>
      <c r="R346" s="11" t="n">
        <f aca="false">P346-Q346</f>
        <v>70500</v>
      </c>
      <c r="S346" s="11" t="n">
        <f aca="false">IF(Calculator!$B$6="Yes",MIN(Q346,'Tax Tables'!$B$31*'Tax Tables'!$B$32),0)</f>
        <v>96000</v>
      </c>
      <c r="T346" s="11" t="n">
        <f aca="false">S346*Calculator!$B$7</f>
        <v>19200</v>
      </c>
      <c r="U346" s="11" t="n">
        <f aca="false">S346*Calculator!$B$8</f>
        <v>16320</v>
      </c>
      <c r="V346" s="11" t="n">
        <f aca="false">IF(Q346&gt;0,'Tax Tables'!$B$32*MIN(MAX(Q346/'Tax Tables'!$B$32*'Tax Tables'!$B$33,'Tax Tables'!$B$34),'Tax Tables'!$B$35),0)</f>
        <v>135</v>
      </c>
      <c r="W346" s="11" t="n">
        <f aca="false">Calculator!$B$5-P346-U346-V346</f>
        <v>217045</v>
      </c>
      <c r="X346" s="11" t="n">
        <f aca="false">'Tax Tables'!$B$22*(MAX(W346,0)-IF(Calculator!$B$10="Yes",MIN(MAX(W346,0),'Tax Tables'!$B$27)*'Tax Tables'!$B$28+MIN(MAX(MAX(W346,0)-'Tax Tables'!$B$27,0),'Tax Tables'!$B$29)*'Tax Tables'!$B$30,MIN(MAX(W346,0),'Tax Tables'!$B$23)*'Tax Tables'!$B$24+MIN(MAX(MAX(W346,0)-'Tax Tables'!$B$23,0),'Tax Tables'!$B$25)*'Tax Tables'!$B$26))*1-MIN('Tax Tables'!$B$22*(MAX(W346,0)-IF(Calculator!$B$10="Yes",MIN(MAX(W346,0),'Tax Tables'!$B$27)*'Tax Tables'!$B$28+MIN(MAX(MAX(W346,0)-'Tax Tables'!$B$27,0),'Tax Tables'!$B$29)*'Tax Tables'!$B$30,MIN(MAX(W346,0),'Tax Tables'!$B$23)*'Tax Tables'!$B$24+MIN(MAX(MAX(W346,0)-'Tax Tables'!$B$23,0),'Tax Tables'!$B$25)*'Tax Tables'!$B$26))*Calculator!$B$11,Calculator!$B$12)</f>
        <v>19472.65</v>
      </c>
      <c r="Y346" s="11" t="n">
        <f aca="false">MAX(W346,0)-X346</f>
        <v>197572.35</v>
      </c>
      <c r="Z346" s="11" t="n">
        <f aca="false">MIN(IF(P346&gt;0,Calculator!$B$13,0)+T346+Calculator!$B$14,'Tax Tables'!$B$36)</f>
        <v>20200</v>
      </c>
      <c r="AA346" s="11" t="n">
        <f aca="false">MAX(P346-Z346,0)</f>
        <v>146300</v>
      </c>
      <c r="AB346" s="11" t="n">
        <f aca="false">SUMPRODUCT((AA346&gt;'Tax Tables'!$A$5:$A$17)*(AA346-'Tax Tables'!$A$5:$A$17)*'Tax Tables'!$C$5:$C$17)</f>
        <v>11895</v>
      </c>
      <c r="AC346" s="11" t="n">
        <f aca="false">IF(W346&lt;0,-1E+099,P346-T346-AB346+Y346+(T346+U346)*Calculator!$B$9)</f>
        <v>368497.35</v>
      </c>
    </row>
    <row r="347" customFormat="false" ht="15" hidden="false" customHeight="false" outlineLevel="0" collapsed="false">
      <c r="A347" s="11" t="n">
        <f aca="false">334*$B$3</f>
        <v>167000</v>
      </c>
      <c r="B347" s="11" t="n">
        <f aca="false">0</f>
        <v>0</v>
      </c>
      <c r="C347" s="11" t="n">
        <f aca="false">A347-B347</f>
        <v>167000</v>
      </c>
      <c r="D347" s="11" t="n">
        <f aca="false">IF(Calculator!$B$6="Yes",MIN(B347,'Tax Tables'!$B$31*'Tax Tables'!$B$32),0)</f>
        <v>0</v>
      </c>
      <c r="E347" s="11" t="n">
        <f aca="false">D347*Calculator!$B$7</f>
        <v>0</v>
      </c>
      <c r="F347" s="11" t="n">
        <f aca="false">D347*Calculator!$B$8</f>
        <v>0</v>
      </c>
      <c r="G347" s="11" t="n">
        <f aca="false">IF(B347&gt;0,'Tax Tables'!$B$32*MIN(MAX(B347/'Tax Tables'!$B$32*'Tax Tables'!$B$33,'Tax Tables'!$B$34),'Tax Tables'!$B$35),0)</f>
        <v>0</v>
      </c>
      <c r="H347" s="11" t="n">
        <f aca="false">Calculator!$B$5-A347-F347-G347</f>
        <v>233000</v>
      </c>
      <c r="I347" s="11" t="n">
        <f aca="false">'Tax Tables'!$B$22*(MAX(H347,0)-IF(Calculator!$B$10="Yes",MIN(MAX(H347,0),'Tax Tables'!$B$27)*'Tax Tables'!$B$28+MIN(MAX(MAX(H347,0)-'Tax Tables'!$B$27,0),'Tax Tables'!$B$29)*'Tax Tables'!$B$30,MIN(MAX(H347,0),'Tax Tables'!$B$23)*'Tax Tables'!$B$24+MIN(MAX(MAX(H347,0)-'Tax Tables'!$B$23,0),'Tax Tables'!$B$25)*'Tax Tables'!$B$26))*1-MIN('Tax Tables'!$B$22*(MAX(H347,0)-IF(Calculator!$B$10="Yes",MIN(MAX(H347,0),'Tax Tables'!$B$27)*'Tax Tables'!$B$28+MIN(MAX(MAX(H347,0)-'Tax Tables'!$B$27,0),'Tax Tables'!$B$29)*'Tax Tables'!$B$30,MIN(MAX(H347,0),'Tax Tables'!$B$23)*'Tax Tables'!$B$24+MIN(MAX(MAX(H347,0)-'Tax Tables'!$B$23,0),'Tax Tables'!$B$25)*'Tax Tables'!$B$26))*Calculator!$B$11,Calculator!$B$12)</f>
        <v>22185</v>
      </c>
      <c r="J347" s="11" t="n">
        <f aca="false">MAX(H347,0)-I347</f>
        <v>210815</v>
      </c>
      <c r="K347" s="11" t="n">
        <f aca="false">MIN(IF(A347&gt;0,Calculator!$B$13,0)+E347+Calculator!$B$14,'Tax Tables'!$B$36)</f>
        <v>1000</v>
      </c>
      <c r="L347" s="11" t="n">
        <f aca="false">MAX(A347-K347,0)</f>
        <v>166000</v>
      </c>
      <c r="M347" s="11" t="n">
        <f aca="false">SUMPRODUCT((L347&gt;'Tax Tables'!$A$5:$A$17)*(L347-'Tax Tables'!$A$5:$A$17)*'Tax Tables'!$C$5:$C$17)</f>
        <v>15030</v>
      </c>
      <c r="N347" s="11" t="n">
        <f aca="false">IF(H347&lt;0,-1E+099,A347-E347-M347+J347+(E347+F347)*Calculator!$B$9)</f>
        <v>362785</v>
      </c>
      <c r="O347" s="2"/>
      <c r="P347" s="11" t="n">
        <f aca="false">334*$B$3</f>
        <v>167000</v>
      </c>
      <c r="Q347" s="11" t="n">
        <f aca="false">MIN(P347,'Tax Tables'!$B$31*'Tax Tables'!$B$32)</f>
        <v>96000</v>
      </c>
      <c r="R347" s="11" t="n">
        <f aca="false">P347-Q347</f>
        <v>71000</v>
      </c>
      <c r="S347" s="11" t="n">
        <f aca="false">IF(Calculator!$B$6="Yes",MIN(Q347,'Tax Tables'!$B$31*'Tax Tables'!$B$32),0)</f>
        <v>96000</v>
      </c>
      <c r="T347" s="11" t="n">
        <f aca="false">S347*Calculator!$B$7</f>
        <v>19200</v>
      </c>
      <c r="U347" s="11" t="n">
        <f aca="false">S347*Calculator!$B$8</f>
        <v>16320</v>
      </c>
      <c r="V347" s="11" t="n">
        <f aca="false">IF(Q347&gt;0,'Tax Tables'!$B$32*MIN(MAX(Q347/'Tax Tables'!$B$32*'Tax Tables'!$B$33,'Tax Tables'!$B$34),'Tax Tables'!$B$35),0)</f>
        <v>135</v>
      </c>
      <c r="W347" s="11" t="n">
        <f aca="false">Calculator!$B$5-P347-U347-V347</f>
        <v>216545</v>
      </c>
      <c r="X347" s="11" t="n">
        <f aca="false">'Tax Tables'!$B$22*(MAX(W347,0)-IF(Calculator!$B$10="Yes",MIN(MAX(W347,0),'Tax Tables'!$B$27)*'Tax Tables'!$B$28+MIN(MAX(MAX(W347,0)-'Tax Tables'!$B$27,0),'Tax Tables'!$B$29)*'Tax Tables'!$B$30,MIN(MAX(W347,0),'Tax Tables'!$B$23)*'Tax Tables'!$B$24+MIN(MAX(MAX(W347,0)-'Tax Tables'!$B$23,0),'Tax Tables'!$B$25)*'Tax Tables'!$B$26))*1-MIN('Tax Tables'!$B$22*(MAX(W347,0)-IF(Calculator!$B$10="Yes",MIN(MAX(W347,0),'Tax Tables'!$B$27)*'Tax Tables'!$B$28+MIN(MAX(MAX(W347,0)-'Tax Tables'!$B$27,0),'Tax Tables'!$B$29)*'Tax Tables'!$B$30,MIN(MAX(W347,0),'Tax Tables'!$B$23)*'Tax Tables'!$B$24+MIN(MAX(MAX(W347,0)-'Tax Tables'!$B$23,0),'Tax Tables'!$B$25)*'Tax Tables'!$B$26))*Calculator!$B$11,Calculator!$B$12)</f>
        <v>19387.65</v>
      </c>
      <c r="Y347" s="11" t="n">
        <f aca="false">MAX(W347,0)-X347</f>
        <v>197157.35</v>
      </c>
      <c r="Z347" s="11" t="n">
        <f aca="false">MIN(IF(P347&gt;0,Calculator!$B$13,0)+T347+Calculator!$B$14,'Tax Tables'!$B$36)</f>
        <v>20200</v>
      </c>
      <c r="AA347" s="11" t="n">
        <f aca="false">MAX(P347-Z347,0)</f>
        <v>146800</v>
      </c>
      <c r="AB347" s="11" t="n">
        <f aca="false">SUMPRODUCT((AA347&gt;'Tax Tables'!$A$5:$A$17)*(AA347-'Tax Tables'!$A$5:$A$17)*'Tax Tables'!$C$5:$C$17)</f>
        <v>11970</v>
      </c>
      <c r="AC347" s="11" t="n">
        <f aca="false">IF(W347&lt;0,-1E+099,P347-T347-AB347+Y347+(T347+U347)*Calculator!$B$9)</f>
        <v>368507.35</v>
      </c>
    </row>
    <row r="348" customFormat="false" ht="15" hidden="false" customHeight="false" outlineLevel="0" collapsed="false">
      <c r="A348" s="11" t="n">
        <f aca="false">335*$B$3</f>
        <v>167500</v>
      </c>
      <c r="B348" s="11" t="n">
        <f aca="false">0</f>
        <v>0</v>
      </c>
      <c r="C348" s="11" t="n">
        <f aca="false">A348-B348</f>
        <v>167500</v>
      </c>
      <c r="D348" s="11" t="n">
        <f aca="false">IF(Calculator!$B$6="Yes",MIN(B348,'Tax Tables'!$B$31*'Tax Tables'!$B$32),0)</f>
        <v>0</v>
      </c>
      <c r="E348" s="11" t="n">
        <f aca="false">D348*Calculator!$B$7</f>
        <v>0</v>
      </c>
      <c r="F348" s="11" t="n">
        <f aca="false">D348*Calculator!$B$8</f>
        <v>0</v>
      </c>
      <c r="G348" s="11" t="n">
        <f aca="false">IF(B348&gt;0,'Tax Tables'!$B$32*MIN(MAX(B348/'Tax Tables'!$B$32*'Tax Tables'!$B$33,'Tax Tables'!$B$34),'Tax Tables'!$B$35),0)</f>
        <v>0</v>
      </c>
      <c r="H348" s="11" t="n">
        <f aca="false">Calculator!$B$5-A348-F348-G348</f>
        <v>232500</v>
      </c>
      <c r="I348" s="11" t="n">
        <f aca="false">'Tax Tables'!$B$22*(MAX(H348,0)-IF(Calculator!$B$10="Yes",MIN(MAX(H348,0),'Tax Tables'!$B$27)*'Tax Tables'!$B$28+MIN(MAX(MAX(H348,0)-'Tax Tables'!$B$27,0),'Tax Tables'!$B$29)*'Tax Tables'!$B$30,MIN(MAX(H348,0),'Tax Tables'!$B$23)*'Tax Tables'!$B$24+MIN(MAX(MAX(H348,0)-'Tax Tables'!$B$23,0),'Tax Tables'!$B$25)*'Tax Tables'!$B$26))*1-MIN('Tax Tables'!$B$22*(MAX(H348,0)-IF(Calculator!$B$10="Yes",MIN(MAX(H348,0),'Tax Tables'!$B$27)*'Tax Tables'!$B$28+MIN(MAX(MAX(H348,0)-'Tax Tables'!$B$27,0),'Tax Tables'!$B$29)*'Tax Tables'!$B$30,MIN(MAX(H348,0),'Tax Tables'!$B$23)*'Tax Tables'!$B$24+MIN(MAX(MAX(H348,0)-'Tax Tables'!$B$23,0),'Tax Tables'!$B$25)*'Tax Tables'!$B$26))*Calculator!$B$11,Calculator!$B$12)</f>
        <v>22100</v>
      </c>
      <c r="J348" s="11" t="n">
        <f aca="false">MAX(H348,0)-I348</f>
        <v>210400</v>
      </c>
      <c r="K348" s="11" t="n">
        <f aca="false">MIN(IF(A348&gt;0,Calculator!$B$13,0)+E348+Calculator!$B$14,'Tax Tables'!$B$36)</f>
        <v>1000</v>
      </c>
      <c r="L348" s="11" t="n">
        <f aca="false">MAX(A348-K348,0)</f>
        <v>166500</v>
      </c>
      <c r="M348" s="11" t="n">
        <f aca="false">SUMPRODUCT((L348&gt;'Tax Tables'!$A$5:$A$17)*(L348-'Tax Tables'!$A$5:$A$17)*'Tax Tables'!$C$5:$C$17)</f>
        <v>15120</v>
      </c>
      <c r="N348" s="11" t="n">
        <f aca="false">IF(H348&lt;0,-1E+099,A348-E348-M348+J348+(E348+F348)*Calculator!$B$9)</f>
        <v>362780</v>
      </c>
      <c r="O348" s="2"/>
      <c r="P348" s="11" t="n">
        <f aca="false">335*$B$3</f>
        <v>167500</v>
      </c>
      <c r="Q348" s="11" t="n">
        <f aca="false">MIN(P348,'Tax Tables'!$B$31*'Tax Tables'!$B$32)</f>
        <v>96000</v>
      </c>
      <c r="R348" s="11" t="n">
        <f aca="false">P348-Q348</f>
        <v>71500</v>
      </c>
      <c r="S348" s="11" t="n">
        <f aca="false">IF(Calculator!$B$6="Yes",MIN(Q348,'Tax Tables'!$B$31*'Tax Tables'!$B$32),0)</f>
        <v>96000</v>
      </c>
      <c r="T348" s="11" t="n">
        <f aca="false">S348*Calculator!$B$7</f>
        <v>19200</v>
      </c>
      <c r="U348" s="11" t="n">
        <f aca="false">S348*Calculator!$B$8</f>
        <v>16320</v>
      </c>
      <c r="V348" s="11" t="n">
        <f aca="false">IF(Q348&gt;0,'Tax Tables'!$B$32*MIN(MAX(Q348/'Tax Tables'!$B$32*'Tax Tables'!$B$33,'Tax Tables'!$B$34),'Tax Tables'!$B$35),0)</f>
        <v>135</v>
      </c>
      <c r="W348" s="11" t="n">
        <f aca="false">Calculator!$B$5-P348-U348-V348</f>
        <v>216045</v>
      </c>
      <c r="X348" s="11" t="n">
        <f aca="false">'Tax Tables'!$B$22*(MAX(W348,0)-IF(Calculator!$B$10="Yes",MIN(MAX(W348,0),'Tax Tables'!$B$27)*'Tax Tables'!$B$28+MIN(MAX(MAX(W348,0)-'Tax Tables'!$B$27,0),'Tax Tables'!$B$29)*'Tax Tables'!$B$30,MIN(MAX(W348,0),'Tax Tables'!$B$23)*'Tax Tables'!$B$24+MIN(MAX(MAX(W348,0)-'Tax Tables'!$B$23,0),'Tax Tables'!$B$25)*'Tax Tables'!$B$26))*1-MIN('Tax Tables'!$B$22*(MAX(W348,0)-IF(Calculator!$B$10="Yes",MIN(MAX(W348,0),'Tax Tables'!$B$27)*'Tax Tables'!$B$28+MIN(MAX(MAX(W348,0)-'Tax Tables'!$B$27,0),'Tax Tables'!$B$29)*'Tax Tables'!$B$30,MIN(MAX(W348,0),'Tax Tables'!$B$23)*'Tax Tables'!$B$24+MIN(MAX(MAX(W348,0)-'Tax Tables'!$B$23,0),'Tax Tables'!$B$25)*'Tax Tables'!$B$26))*Calculator!$B$11,Calculator!$B$12)</f>
        <v>19302.65</v>
      </c>
      <c r="Y348" s="11" t="n">
        <f aca="false">MAX(W348,0)-X348</f>
        <v>196742.35</v>
      </c>
      <c r="Z348" s="11" t="n">
        <f aca="false">MIN(IF(P348&gt;0,Calculator!$B$13,0)+T348+Calculator!$B$14,'Tax Tables'!$B$36)</f>
        <v>20200</v>
      </c>
      <c r="AA348" s="11" t="n">
        <f aca="false">MAX(P348-Z348,0)</f>
        <v>147300</v>
      </c>
      <c r="AB348" s="11" t="n">
        <f aca="false">SUMPRODUCT((AA348&gt;'Tax Tables'!$A$5:$A$17)*(AA348-'Tax Tables'!$A$5:$A$17)*'Tax Tables'!$C$5:$C$17)</f>
        <v>12045</v>
      </c>
      <c r="AC348" s="11" t="n">
        <f aca="false">IF(W348&lt;0,-1E+099,P348-T348-AB348+Y348+(T348+U348)*Calculator!$B$9)</f>
        <v>368517.35</v>
      </c>
    </row>
    <row r="349" customFormat="false" ht="15" hidden="false" customHeight="false" outlineLevel="0" collapsed="false">
      <c r="A349" s="11" t="n">
        <f aca="false">336*$B$3</f>
        <v>168000</v>
      </c>
      <c r="B349" s="11" t="n">
        <f aca="false">0</f>
        <v>0</v>
      </c>
      <c r="C349" s="11" t="n">
        <f aca="false">A349-B349</f>
        <v>168000</v>
      </c>
      <c r="D349" s="11" t="n">
        <f aca="false">IF(Calculator!$B$6="Yes",MIN(B349,'Tax Tables'!$B$31*'Tax Tables'!$B$32),0)</f>
        <v>0</v>
      </c>
      <c r="E349" s="11" t="n">
        <f aca="false">D349*Calculator!$B$7</f>
        <v>0</v>
      </c>
      <c r="F349" s="11" t="n">
        <f aca="false">D349*Calculator!$B$8</f>
        <v>0</v>
      </c>
      <c r="G349" s="11" t="n">
        <f aca="false">IF(B349&gt;0,'Tax Tables'!$B$32*MIN(MAX(B349/'Tax Tables'!$B$32*'Tax Tables'!$B$33,'Tax Tables'!$B$34),'Tax Tables'!$B$35),0)</f>
        <v>0</v>
      </c>
      <c r="H349" s="11" t="n">
        <f aca="false">Calculator!$B$5-A349-F349-G349</f>
        <v>232000</v>
      </c>
      <c r="I349" s="11" t="n">
        <f aca="false">'Tax Tables'!$B$22*(MAX(H349,0)-IF(Calculator!$B$10="Yes",MIN(MAX(H349,0),'Tax Tables'!$B$27)*'Tax Tables'!$B$28+MIN(MAX(MAX(H349,0)-'Tax Tables'!$B$27,0),'Tax Tables'!$B$29)*'Tax Tables'!$B$30,MIN(MAX(H349,0),'Tax Tables'!$B$23)*'Tax Tables'!$B$24+MIN(MAX(MAX(H349,0)-'Tax Tables'!$B$23,0),'Tax Tables'!$B$25)*'Tax Tables'!$B$26))*1-MIN('Tax Tables'!$B$22*(MAX(H349,0)-IF(Calculator!$B$10="Yes",MIN(MAX(H349,0),'Tax Tables'!$B$27)*'Tax Tables'!$B$28+MIN(MAX(MAX(H349,0)-'Tax Tables'!$B$27,0),'Tax Tables'!$B$29)*'Tax Tables'!$B$30,MIN(MAX(H349,0),'Tax Tables'!$B$23)*'Tax Tables'!$B$24+MIN(MAX(MAX(H349,0)-'Tax Tables'!$B$23,0),'Tax Tables'!$B$25)*'Tax Tables'!$B$26))*Calculator!$B$11,Calculator!$B$12)</f>
        <v>22015</v>
      </c>
      <c r="J349" s="11" t="n">
        <f aca="false">MAX(H349,0)-I349</f>
        <v>209985</v>
      </c>
      <c r="K349" s="11" t="n">
        <f aca="false">MIN(IF(A349&gt;0,Calculator!$B$13,0)+E349+Calculator!$B$14,'Tax Tables'!$B$36)</f>
        <v>1000</v>
      </c>
      <c r="L349" s="11" t="n">
        <f aca="false">MAX(A349-K349,0)</f>
        <v>167000</v>
      </c>
      <c r="M349" s="11" t="n">
        <f aca="false">SUMPRODUCT((L349&gt;'Tax Tables'!$A$5:$A$17)*(L349-'Tax Tables'!$A$5:$A$17)*'Tax Tables'!$C$5:$C$17)</f>
        <v>15210</v>
      </c>
      <c r="N349" s="11" t="n">
        <f aca="false">IF(H349&lt;0,-1E+099,A349-E349-M349+J349+(E349+F349)*Calculator!$B$9)</f>
        <v>362775</v>
      </c>
      <c r="O349" s="2"/>
      <c r="P349" s="11" t="n">
        <f aca="false">336*$B$3</f>
        <v>168000</v>
      </c>
      <c r="Q349" s="11" t="n">
        <f aca="false">MIN(P349,'Tax Tables'!$B$31*'Tax Tables'!$B$32)</f>
        <v>96000</v>
      </c>
      <c r="R349" s="11" t="n">
        <f aca="false">P349-Q349</f>
        <v>72000</v>
      </c>
      <c r="S349" s="11" t="n">
        <f aca="false">IF(Calculator!$B$6="Yes",MIN(Q349,'Tax Tables'!$B$31*'Tax Tables'!$B$32),0)</f>
        <v>96000</v>
      </c>
      <c r="T349" s="11" t="n">
        <f aca="false">S349*Calculator!$B$7</f>
        <v>19200</v>
      </c>
      <c r="U349" s="11" t="n">
        <f aca="false">S349*Calculator!$B$8</f>
        <v>16320</v>
      </c>
      <c r="V349" s="11" t="n">
        <f aca="false">IF(Q349&gt;0,'Tax Tables'!$B$32*MIN(MAX(Q349/'Tax Tables'!$B$32*'Tax Tables'!$B$33,'Tax Tables'!$B$34),'Tax Tables'!$B$35),0)</f>
        <v>135</v>
      </c>
      <c r="W349" s="11" t="n">
        <f aca="false">Calculator!$B$5-P349-U349-V349</f>
        <v>215545</v>
      </c>
      <c r="X349" s="11" t="n">
        <f aca="false">'Tax Tables'!$B$22*(MAX(W349,0)-IF(Calculator!$B$10="Yes",MIN(MAX(W349,0),'Tax Tables'!$B$27)*'Tax Tables'!$B$28+MIN(MAX(MAX(W349,0)-'Tax Tables'!$B$27,0),'Tax Tables'!$B$29)*'Tax Tables'!$B$30,MIN(MAX(W349,0),'Tax Tables'!$B$23)*'Tax Tables'!$B$24+MIN(MAX(MAX(W349,0)-'Tax Tables'!$B$23,0),'Tax Tables'!$B$25)*'Tax Tables'!$B$26))*1-MIN('Tax Tables'!$B$22*(MAX(W349,0)-IF(Calculator!$B$10="Yes",MIN(MAX(W349,0),'Tax Tables'!$B$27)*'Tax Tables'!$B$28+MIN(MAX(MAX(W349,0)-'Tax Tables'!$B$27,0),'Tax Tables'!$B$29)*'Tax Tables'!$B$30,MIN(MAX(W349,0),'Tax Tables'!$B$23)*'Tax Tables'!$B$24+MIN(MAX(MAX(W349,0)-'Tax Tables'!$B$23,0),'Tax Tables'!$B$25)*'Tax Tables'!$B$26))*Calculator!$B$11,Calculator!$B$12)</f>
        <v>19217.65</v>
      </c>
      <c r="Y349" s="11" t="n">
        <f aca="false">MAX(W349,0)-X349</f>
        <v>196327.35</v>
      </c>
      <c r="Z349" s="11" t="n">
        <f aca="false">MIN(IF(P349&gt;0,Calculator!$B$13,0)+T349+Calculator!$B$14,'Tax Tables'!$B$36)</f>
        <v>20200</v>
      </c>
      <c r="AA349" s="11" t="n">
        <f aca="false">MAX(P349-Z349,0)</f>
        <v>147800</v>
      </c>
      <c r="AB349" s="11" t="n">
        <f aca="false">SUMPRODUCT((AA349&gt;'Tax Tables'!$A$5:$A$17)*(AA349-'Tax Tables'!$A$5:$A$17)*'Tax Tables'!$C$5:$C$17)</f>
        <v>12120</v>
      </c>
      <c r="AC349" s="11" t="n">
        <f aca="false">IF(W349&lt;0,-1E+099,P349-T349-AB349+Y349+(T349+U349)*Calculator!$B$9)</f>
        <v>368527.35</v>
      </c>
    </row>
    <row r="350" customFormat="false" ht="15" hidden="false" customHeight="false" outlineLevel="0" collapsed="false">
      <c r="A350" s="11" t="n">
        <f aca="false">337*$B$3</f>
        <v>168500</v>
      </c>
      <c r="B350" s="11" t="n">
        <f aca="false">0</f>
        <v>0</v>
      </c>
      <c r="C350" s="11" t="n">
        <f aca="false">A350-B350</f>
        <v>168500</v>
      </c>
      <c r="D350" s="11" t="n">
        <f aca="false">IF(Calculator!$B$6="Yes",MIN(B350,'Tax Tables'!$B$31*'Tax Tables'!$B$32),0)</f>
        <v>0</v>
      </c>
      <c r="E350" s="11" t="n">
        <f aca="false">D350*Calculator!$B$7</f>
        <v>0</v>
      </c>
      <c r="F350" s="11" t="n">
        <f aca="false">D350*Calculator!$B$8</f>
        <v>0</v>
      </c>
      <c r="G350" s="11" t="n">
        <f aca="false">IF(B350&gt;0,'Tax Tables'!$B$32*MIN(MAX(B350/'Tax Tables'!$B$32*'Tax Tables'!$B$33,'Tax Tables'!$B$34),'Tax Tables'!$B$35),0)</f>
        <v>0</v>
      </c>
      <c r="H350" s="11" t="n">
        <f aca="false">Calculator!$B$5-A350-F350-G350</f>
        <v>231500</v>
      </c>
      <c r="I350" s="11" t="n">
        <f aca="false">'Tax Tables'!$B$22*(MAX(H350,0)-IF(Calculator!$B$10="Yes",MIN(MAX(H350,0),'Tax Tables'!$B$27)*'Tax Tables'!$B$28+MIN(MAX(MAX(H350,0)-'Tax Tables'!$B$27,0),'Tax Tables'!$B$29)*'Tax Tables'!$B$30,MIN(MAX(H350,0),'Tax Tables'!$B$23)*'Tax Tables'!$B$24+MIN(MAX(MAX(H350,0)-'Tax Tables'!$B$23,0),'Tax Tables'!$B$25)*'Tax Tables'!$B$26))*1-MIN('Tax Tables'!$B$22*(MAX(H350,0)-IF(Calculator!$B$10="Yes",MIN(MAX(H350,0),'Tax Tables'!$B$27)*'Tax Tables'!$B$28+MIN(MAX(MAX(H350,0)-'Tax Tables'!$B$27,0),'Tax Tables'!$B$29)*'Tax Tables'!$B$30,MIN(MAX(H350,0),'Tax Tables'!$B$23)*'Tax Tables'!$B$24+MIN(MAX(MAX(H350,0)-'Tax Tables'!$B$23,0),'Tax Tables'!$B$25)*'Tax Tables'!$B$26))*Calculator!$B$11,Calculator!$B$12)</f>
        <v>21930</v>
      </c>
      <c r="J350" s="11" t="n">
        <f aca="false">MAX(H350,0)-I350</f>
        <v>209570</v>
      </c>
      <c r="K350" s="11" t="n">
        <f aca="false">MIN(IF(A350&gt;0,Calculator!$B$13,0)+E350+Calculator!$B$14,'Tax Tables'!$B$36)</f>
        <v>1000</v>
      </c>
      <c r="L350" s="11" t="n">
        <f aca="false">MAX(A350-K350,0)</f>
        <v>167500</v>
      </c>
      <c r="M350" s="11" t="n">
        <f aca="false">SUMPRODUCT((L350&gt;'Tax Tables'!$A$5:$A$17)*(L350-'Tax Tables'!$A$5:$A$17)*'Tax Tables'!$C$5:$C$17)</f>
        <v>15300</v>
      </c>
      <c r="N350" s="11" t="n">
        <f aca="false">IF(H350&lt;0,-1E+099,A350-E350-M350+J350+(E350+F350)*Calculator!$B$9)</f>
        <v>362770</v>
      </c>
      <c r="O350" s="2"/>
      <c r="P350" s="11" t="n">
        <f aca="false">337*$B$3</f>
        <v>168500</v>
      </c>
      <c r="Q350" s="11" t="n">
        <f aca="false">MIN(P350,'Tax Tables'!$B$31*'Tax Tables'!$B$32)</f>
        <v>96000</v>
      </c>
      <c r="R350" s="11" t="n">
        <f aca="false">P350-Q350</f>
        <v>72500</v>
      </c>
      <c r="S350" s="11" t="n">
        <f aca="false">IF(Calculator!$B$6="Yes",MIN(Q350,'Tax Tables'!$B$31*'Tax Tables'!$B$32),0)</f>
        <v>96000</v>
      </c>
      <c r="T350" s="11" t="n">
        <f aca="false">S350*Calculator!$B$7</f>
        <v>19200</v>
      </c>
      <c r="U350" s="11" t="n">
        <f aca="false">S350*Calculator!$B$8</f>
        <v>16320</v>
      </c>
      <c r="V350" s="11" t="n">
        <f aca="false">IF(Q350&gt;0,'Tax Tables'!$B$32*MIN(MAX(Q350/'Tax Tables'!$B$32*'Tax Tables'!$B$33,'Tax Tables'!$B$34),'Tax Tables'!$B$35),0)</f>
        <v>135</v>
      </c>
      <c r="W350" s="11" t="n">
        <f aca="false">Calculator!$B$5-P350-U350-V350</f>
        <v>215045</v>
      </c>
      <c r="X350" s="11" t="n">
        <f aca="false">'Tax Tables'!$B$22*(MAX(W350,0)-IF(Calculator!$B$10="Yes",MIN(MAX(W350,0),'Tax Tables'!$B$27)*'Tax Tables'!$B$28+MIN(MAX(MAX(W350,0)-'Tax Tables'!$B$27,0),'Tax Tables'!$B$29)*'Tax Tables'!$B$30,MIN(MAX(W350,0),'Tax Tables'!$B$23)*'Tax Tables'!$B$24+MIN(MAX(MAX(W350,0)-'Tax Tables'!$B$23,0),'Tax Tables'!$B$25)*'Tax Tables'!$B$26))*1-MIN('Tax Tables'!$B$22*(MAX(W350,0)-IF(Calculator!$B$10="Yes",MIN(MAX(W350,0),'Tax Tables'!$B$27)*'Tax Tables'!$B$28+MIN(MAX(MAX(W350,0)-'Tax Tables'!$B$27,0),'Tax Tables'!$B$29)*'Tax Tables'!$B$30,MIN(MAX(W350,0),'Tax Tables'!$B$23)*'Tax Tables'!$B$24+MIN(MAX(MAX(W350,0)-'Tax Tables'!$B$23,0),'Tax Tables'!$B$25)*'Tax Tables'!$B$26))*Calculator!$B$11,Calculator!$B$12)</f>
        <v>19132.65</v>
      </c>
      <c r="Y350" s="11" t="n">
        <f aca="false">MAX(W350,0)-X350</f>
        <v>195912.35</v>
      </c>
      <c r="Z350" s="11" t="n">
        <f aca="false">MIN(IF(P350&gt;0,Calculator!$B$13,0)+T350+Calculator!$B$14,'Tax Tables'!$B$36)</f>
        <v>20200</v>
      </c>
      <c r="AA350" s="11" t="n">
        <f aca="false">MAX(P350-Z350,0)</f>
        <v>148300</v>
      </c>
      <c r="AB350" s="11" t="n">
        <f aca="false">SUMPRODUCT((AA350&gt;'Tax Tables'!$A$5:$A$17)*(AA350-'Tax Tables'!$A$5:$A$17)*'Tax Tables'!$C$5:$C$17)</f>
        <v>12195</v>
      </c>
      <c r="AC350" s="11" t="n">
        <f aca="false">IF(W350&lt;0,-1E+099,P350-T350-AB350+Y350+(T350+U350)*Calculator!$B$9)</f>
        <v>368537.35</v>
      </c>
    </row>
    <row r="351" customFormat="false" ht="15" hidden="false" customHeight="false" outlineLevel="0" collapsed="false">
      <c r="A351" s="11" t="n">
        <f aca="false">338*$B$3</f>
        <v>169000</v>
      </c>
      <c r="B351" s="11" t="n">
        <f aca="false">0</f>
        <v>0</v>
      </c>
      <c r="C351" s="11" t="n">
        <f aca="false">A351-B351</f>
        <v>169000</v>
      </c>
      <c r="D351" s="11" t="n">
        <f aca="false">IF(Calculator!$B$6="Yes",MIN(B351,'Tax Tables'!$B$31*'Tax Tables'!$B$32),0)</f>
        <v>0</v>
      </c>
      <c r="E351" s="11" t="n">
        <f aca="false">D351*Calculator!$B$7</f>
        <v>0</v>
      </c>
      <c r="F351" s="11" t="n">
        <f aca="false">D351*Calculator!$B$8</f>
        <v>0</v>
      </c>
      <c r="G351" s="11" t="n">
        <f aca="false">IF(B351&gt;0,'Tax Tables'!$B$32*MIN(MAX(B351/'Tax Tables'!$B$32*'Tax Tables'!$B$33,'Tax Tables'!$B$34),'Tax Tables'!$B$35),0)</f>
        <v>0</v>
      </c>
      <c r="H351" s="11" t="n">
        <f aca="false">Calculator!$B$5-A351-F351-G351</f>
        <v>231000</v>
      </c>
      <c r="I351" s="11" t="n">
        <f aca="false">'Tax Tables'!$B$22*(MAX(H351,0)-IF(Calculator!$B$10="Yes",MIN(MAX(H351,0),'Tax Tables'!$B$27)*'Tax Tables'!$B$28+MIN(MAX(MAX(H351,0)-'Tax Tables'!$B$27,0),'Tax Tables'!$B$29)*'Tax Tables'!$B$30,MIN(MAX(H351,0),'Tax Tables'!$B$23)*'Tax Tables'!$B$24+MIN(MAX(MAX(H351,0)-'Tax Tables'!$B$23,0),'Tax Tables'!$B$25)*'Tax Tables'!$B$26))*1-MIN('Tax Tables'!$B$22*(MAX(H351,0)-IF(Calculator!$B$10="Yes",MIN(MAX(H351,0),'Tax Tables'!$B$27)*'Tax Tables'!$B$28+MIN(MAX(MAX(H351,0)-'Tax Tables'!$B$27,0),'Tax Tables'!$B$29)*'Tax Tables'!$B$30,MIN(MAX(H351,0),'Tax Tables'!$B$23)*'Tax Tables'!$B$24+MIN(MAX(MAX(H351,0)-'Tax Tables'!$B$23,0),'Tax Tables'!$B$25)*'Tax Tables'!$B$26))*Calculator!$B$11,Calculator!$B$12)</f>
        <v>21845</v>
      </c>
      <c r="J351" s="11" t="n">
        <f aca="false">MAX(H351,0)-I351</f>
        <v>209155</v>
      </c>
      <c r="K351" s="11" t="n">
        <f aca="false">MIN(IF(A351&gt;0,Calculator!$B$13,0)+E351+Calculator!$B$14,'Tax Tables'!$B$36)</f>
        <v>1000</v>
      </c>
      <c r="L351" s="11" t="n">
        <f aca="false">MAX(A351-K351,0)</f>
        <v>168000</v>
      </c>
      <c r="M351" s="11" t="n">
        <f aca="false">SUMPRODUCT((L351&gt;'Tax Tables'!$A$5:$A$17)*(L351-'Tax Tables'!$A$5:$A$17)*'Tax Tables'!$C$5:$C$17)</f>
        <v>15390</v>
      </c>
      <c r="N351" s="11" t="n">
        <f aca="false">IF(H351&lt;0,-1E+099,A351-E351-M351+J351+(E351+F351)*Calculator!$B$9)</f>
        <v>362765</v>
      </c>
      <c r="O351" s="2"/>
      <c r="P351" s="11" t="n">
        <f aca="false">338*$B$3</f>
        <v>169000</v>
      </c>
      <c r="Q351" s="11" t="n">
        <f aca="false">MIN(P351,'Tax Tables'!$B$31*'Tax Tables'!$B$32)</f>
        <v>96000</v>
      </c>
      <c r="R351" s="11" t="n">
        <f aca="false">P351-Q351</f>
        <v>73000</v>
      </c>
      <c r="S351" s="11" t="n">
        <f aca="false">IF(Calculator!$B$6="Yes",MIN(Q351,'Tax Tables'!$B$31*'Tax Tables'!$B$32),0)</f>
        <v>96000</v>
      </c>
      <c r="T351" s="11" t="n">
        <f aca="false">S351*Calculator!$B$7</f>
        <v>19200</v>
      </c>
      <c r="U351" s="11" t="n">
        <f aca="false">S351*Calculator!$B$8</f>
        <v>16320</v>
      </c>
      <c r="V351" s="11" t="n">
        <f aca="false">IF(Q351&gt;0,'Tax Tables'!$B$32*MIN(MAX(Q351/'Tax Tables'!$B$32*'Tax Tables'!$B$33,'Tax Tables'!$B$34),'Tax Tables'!$B$35),0)</f>
        <v>135</v>
      </c>
      <c r="W351" s="11" t="n">
        <f aca="false">Calculator!$B$5-P351-U351-V351</f>
        <v>214545</v>
      </c>
      <c r="X351" s="11" t="n">
        <f aca="false">'Tax Tables'!$B$22*(MAX(W351,0)-IF(Calculator!$B$10="Yes",MIN(MAX(W351,0),'Tax Tables'!$B$27)*'Tax Tables'!$B$28+MIN(MAX(MAX(W351,0)-'Tax Tables'!$B$27,0),'Tax Tables'!$B$29)*'Tax Tables'!$B$30,MIN(MAX(W351,0),'Tax Tables'!$B$23)*'Tax Tables'!$B$24+MIN(MAX(MAX(W351,0)-'Tax Tables'!$B$23,0),'Tax Tables'!$B$25)*'Tax Tables'!$B$26))*1-MIN('Tax Tables'!$B$22*(MAX(W351,0)-IF(Calculator!$B$10="Yes",MIN(MAX(W351,0),'Tax Tables'!$B$27)*'Tax Tables'!$B$28+MIN(MAX(MAX(W351,0)-'Tax Tables'!$B$27,0),'Tax Tables'!$B$29)*'Tax Tables'!$B$30,MIN(MAX(W351,0),'Tax Tables'!$B$23)*'Tax Tables'!$B$24+MIN(MAX(MAX(W351,0)-'Tax Tables'!$B$23,0),'Tax Tables'!$B$25)*'Tax Tables'!$B$26))*Calculator!$B$11,Calculator!$B$12)</f>
        <v>19047.65</v>
      </c>
      <c r="Y351" s="11" t="n">
        <f aca="false">MAX(W351,0)-X351</f>
        <v>195497.35</v>
      </c>
      <c r="Z351" s="11" t="n">
        <f aca="false">MIN(IF(P351&gt;0,Calculator!$B$13,0)+T351+Calculator!$B$14,'Tax Tables'!$B$36)</f>
        <v>20200</v>
      </c>
      <c r="AA351" s="11" t="n">
        <f aca="false">MAX(P351-Z351,0)</f>
        <v>148800</v>
      </c>
      <c r="AB351" s="11" t="n">
        <f aca="false">SUMPRODUCT((AA351&gt;'Tax Tables'!$A$5:$A$17)*(AA351-'Tax Tables'!$A$5:$A$17)*'Tax Tables'!$C$5:$C$17)</f>
        <v>12270</v>
      </c>
      <c r="AC351" s="11" t="n">
        <f aca="false">IF(W351&lt;0,-1E+099,P351-T351-AB351+Y351+(T351+U351)*Calculator!$B$9)</f>
        <v>368547.35</v>
      </c>
    </row>
    <row r="352" customFormat="false" ht="15" hidden="false" customHeight="false" outlineLevel="0" collapsed="false">
      <c r="A352" s="11" t="n">
        <f aca="false">339*$B$3</f>
        <v>169500</v>
      </c>
      <c r="B352" s="11" t="n">
        <f aca="false">0</f>
        <v>0</v>
      </c>
      <c r="C352" s="11" t="n">
        <f aca="false">A352-B352</f>
        <v>169500</v>
      </c>
      <c r="D352" s="11" t="n">
        <f aca="false">IF(Calculator!$B$6="Yes",MIN(B352,'Tax Tables'!$B$31*'Tax Tables'!$B$32),0)</f>
        <v>0</v>
      </c>
      <c r="E352" s="11" t="n">
        <f aca="false">D352*Calculator!$B$7</f>
        <v>0</v>
      </c>
      <c r="F352" s="11" t="n">
        <f aca="false">D352*Calculator!$B$8</f>
        <v>0</v>
      </c>
      <c r="G352" s="11" t="n">
        <f aca="false">IF(B352&gt;0,'Tax Tables'!$B$32*MIN(MAX(B352/'Tax Tables'!$B$32*'Tax Tables'!$B$33,'Tax Tables'!$B$34),'Tax Tables'!$B$35),0)</f>
        <v>0</v>
      </c>
      <c r="H352" s="11" t="n">
        <f aca="false">Calculator!$B$5-A352-F352-G352</f>
        <v>230500</v>
      </c>
      <c r="I352" s="11" t="n">
        <f aca="false">'Tax Tables'!$B$22*(MAX(H352,0)-IF(Calculator!$B$10="Yes",MIN(MAX(H352,0),'Tax Tables'!$B$27)*'Tax Tables'!$B$28+MIN(MAX(MAX(H352,0)-'Tax Tables'!$B$27,0),'Tax Tables'!$B$29)*'Tax Tables'!$B$30,MIN(MAX(H352,0),'Tax Tables'!$B$23)*'Tax Tables'!$B$24+MIN(MAX(MAX(H352,0)-'Tax Tables'!$B$23,0),'Tax Tables'!$B$25)*'Tax Tables'!$B$26))*1-MIN('Tax Tables'!$B$22*(MAX(H352,0)-IF(Calculator!$B$10="Yes",MIN(MAX(H352,0),'Tax Tables'!$B$27)*'Tax Tables'!$B$28+MIN(MAX(MAX(H352,0)-'Tax Tables'!$B$27,0),'Tax Tables'!$B$29)*'Tax Tables'!$B$30,MIN(MAX(H352,0),'Tax Tables'!$B$23)*'Tax Tables'!$B$24+MIN(MAX(MAX(H352,0)-'Tax Tables'!$B$23,0),'Tax Tables'!$B$25)*'Tax Tables'!$B$26))*Calculator!$B$11,Calculator!$B$12)</f>
        <v>21760</v>
      </c>
      <c r="J352" s="11" t="n">
        <f aca="false">MAX(H352,0)-I352</f>
        <v>208740</v>
      </c>
      <c r="K352" s="11" t="n">
        <f aca="false">MIN(IF(A352&gt;0,Calculator!$B$13,0)+E352+Calculator!$B$14,'Tax Tables'!$B$36)</f>
        <v>1000</v>
      </c>
      <c r="L352" s="11" t="n">
        <f aca="false">MAX(A352-K352,0)</f>
        <v>168500</v>
      </c>
      <c r="M352" s="11" t="n">
        <f aca="false">SUMPRODUCT((L352&gt;'Tax Tables'!$A$5:$A$17)*(L352-'Tax Tables'!$A$5:$A$17)*'Tax Tables'!$C$5:$C$17)</f>
        <v>15480</v>
      </c>
      <c r="N352" s="11" t="n">
        <f aca="false">IF(H352&lt;0,-1E+099,A352-E352-M352+J352+(E352+F352)*Calculator!$B$9)</f>
        <v>362760</v>
      </c>
      <c r="O352" s="2"/>
      <c r="P352" s="11" t="n">
        <f aca="false">339*$B$3</f>
        <v>169500</v>
      </c>
      <c r="Q352" s="11" t="n">
        <f aca="false">MIN(P352,'Tax Tables'!$B$31*'Tax Tables'!$B$32)</f>
        <v>96000</v>
      </c>
      <c r="R352" s="11" t="n">
        <f aca="false">P352-Q352</f>
        <v>73500</v>
      </c>
      <c r="S352" s="11" t="n">
        <f aca="false">IF(Calculator!$B$6="Yes",MIN(Q352,'Tax Tables'!$B$31*'Tax Tables'!$B$32),0)</f>
        <v>96000</v>
      </c>
      <c r="T352" s="11" t="n">
        <f aca="false">S352*Calculator!$B$7</f>
        <v>19200</v>
      </c>
      <c r="U352" s="11" t="n">
        <f aca="false">S352*Calculator!$B$8</f>
        <v>16320</v>
      </c>
      <c r="V352" s="11" t="n">
        <f aca="false">IF(Q352&gt;0,'Tax Tables'!$B$32*MIN(MAX(Q352/'Tax Tables'!$B$32*'Tax Tables'!$B$33,'Tax Tables'!$B$34),'Tax Tables'!$B$35),0)</f>
        <v>135</v>
      </c>
      <c r="W352" s="11" t="n">
        <f aca="false">Calculator!$B$5-P352-U352-V352</f>
        <v>214045</v>
      </c>
      <c r="X352" s="11" t="n">
        <f aca="false">'Tax Tables'!$B$22*(MAX(W352,0)-IF(Calculator!$B$10="Yes",MIN(MAX(W352,0),'Tax Tables'!$B$27)*'Tax Tables'!$B$28+MIN(MAX(MAX(W352,0)-'Tax Tables'!$B$27,0),'Tax Tables'!$B$29)*'Tax Tables'!$B$30,MIN(MAX(W352,0),'Tax Tables'!$B$23)*'Tax Tables'!$B$24+MIN(MAX(MAX(W352,0)-'Tax Tables'!$B$23,0),'Tax Tables'!$B$25)*'Tax Tables'!$B$26))*1-MIN('Tax Tables'!$B$22*(MAX(W352,0)-IF(Calculator!$B$10="Yes",MIN(MAX(W352,0),'Tax Tables'!$B$27)*'Tax Tables'!$B$28+MIN(MAX(MAX(W352,0)-'Tax Tables'!$B$27,0),'Tax Tables'!$B$29)*'Tax Tables'!$B$30,MIN(MAX(W352,0),'Tax Tables'!$B$23)*'Tax Tables'!$B$24+MIN(MAX(MAX(W352,0)-'Tax Tables'!$B$23,0),'Tax Tables'!$B$25)*'Tax Tables'!$B$26))*Calculator!$B$11,Calculator!$B$12)</f>
        <v>18962.65</v>
      </c>
      <c r="Y352" s="11" t="n">
        <f aca="false">MAX(W352,0)-X352</f>
        <v>195082.35</v>
      </c>
      <c r="Z352" s="11" t="n">
        <f aca="false">MIN(IF(P352&gt;0,Calculator!$B$13,0)+T352+Calculator!$B$14,'Tax Tables'!$B$36)</f>
        <v>20200</v>
      </c>
      <c r="AA352" s="11" t="n">
        <f aca="false">MAX(P352-Z352,0)</f>
        <v>149300</v>
      </c>
      <c r="AB352" s="11" t="n">
        <f aca="false">SUMPRODUCT((AA352&gt;'Tax Tables'!$A$5:$A$17)*(AA352-'Tax Tables'!$A$5:$A$17)*'Tax Tables'!$C$5:$C$17)</f>
        <v>12345</v>
      </c>
      <c r="AC352" s="11" t="n">
        <f aca="false">IF(W352&lt;0,-1E+099,P352-T352-AB352+Y352+(T352+U352)*Calculator!$B$9)</f>
        <v>368557.35</v>
      </c>
    </row>
    <row r="353" customFormat="false" ht="15" hidden="false" customHeight="false" outlineLevel="0" collapsed="false">
      <c r="A353" s="11" t="n">
        <f aca="false">340*$B$3</f>
        <v>170000</v>
      </c>
      <c r="B353" s="11" t="n">
        <f aca="false">0</f>
        <v>0</v>
      </c>
      <c r="C353" s="11" t="n">
        <f aca="false">A353-B353</f>
        <v>170000</v>
      </c>
      <c r="D353" s="11" t="n">
        <f aca="false">IF(Calculator!$B$6="Yes",MIN(B353,'Tax Tables'!$B$31*'Tax Tables'!$B$32),0)</f>
        <v>0</v>
      </c>
      <c r="E353" s="11" t="n">
        <f aca="false">D353*Calculator!$B$7</f>
        <v>0</v>
      </c>
      <c r="F353" s="11" t="n">
        <f aca="false">D353*Calculator!$B$8</f>
        <v>0</v>
      </c>
      <c r="G353" s="11" t="n">
        <f aca="false">IF(B353&gt;0,'Tax Tables'!$B$32*MIN(MAX(B353/'Tax Tables'!$B$32*'Tax Tables'!$B$33,'Tax Tables'!$B$34),'Tax Tables'!$B$35),0)</f>
        <v>0</v>
      </c>
      <c r="H353" s="11" t="n">
        <f aca="false">Calculator!$B$5-A353-F353-G353</f>
        <v>230000</v>
      </c>
      <c r="I353" s="11" t="n">
        <f aca="false">'Tax Tables'!$B$22*(MAX(H353,0)-IF(Calculator!$B$10="Yes",MIN(MAX(H353,0),'Tax Tables'!$B$27)*'Tax Tables'!$B$28+MIN(MAX(MAX(H353,0)-'Tax Tables'!$B$27,0),'Tax Tables'!$B$29)*'Tax Tables'!$B$30,MIN(MAX(H353,0),'Tax Tables'!$B$23)*'Tax Tables'!$B$24+MIN(MAX(MAX(H353,0)-'Tax Tables'!$B$23,0),'Tax Tables'!$B$25)*'Tax Tables'!$B$26))*1-MIN('Tax Tables'!$B$22*(MAX(H353,0)-IF(Calculator!$B$10="Yes",MIN(MAX(H353,0),'Tax Tables'!$B$27)*'Tax Tables'!$B$28+MIN(MAX(MAX(H353,0)-'Tax Tables'!$B$27,0),'Tax Tables'!$B$29)*'Tax Tables'!$B$30,MIN(MAX(H353,0),'Tax Tables'!$B$23)*'Tax Tables'!$B$24+MIN(MAX(MAX(H353,0)-'Tax Tables'!$B$23,0),'Tax Tables'!$B$25)*'Tax Tables'!$B$26))*Calculator!$B$11,Calculator!$B$12)</f>
        <v>21675</v>
      </c>
      <c r="J353" s="11" t="n">
        <f aca="false">MAX(H353,0)-I353</f>
        <v>208325</v>
      </c>
      <c r="K353" s="11" t="n">
        <f aca="false">MIN(IF(A353&gt;0,Calculator!$B$13,0)+E353+Calculator!$B$14,'Tax Tables'!$B$36)</f>
        <v>1000</v>
      </c>
      <c r="L353" s="11" t="n">
        <f aca="false">MAX(A353-K353,0)</f>
        <v>169000</v>
      </c>
      <c r="M353" s="11" t="n">
        <f aca="false">SUMPRODUCT((L353&gt;'Tax Tables'!$A$5:$A$17)*(L353-'Tax Tables'!$A$5:$A$17)*'Tax Tables'!$C$5:$C$17)</f>
        <v>15570</v>
      </c>
      <c r="N353" s="11" t="n">
        <f aca="false">IF(H353&lt;0,-1E+099,A353-E353-M353+J353+(E353+F353)*Calculator!$B$9)</f>
        <v>362755</v>
      </c>
      <c r="O353" s="2"/>
      <c r="P353" s="11" t="n">
        <f aca="false">340*$B$3</f>
        <v>170000</v>
      </c>
      <c r="Q353" s="11" t="n">
        <f aca="false">MIN(P353,'Tax Tables'!$B$31*'Tax Tables'!$B$32)</f>
        <v>96000</v>
      </c>
      <c r="R353" s="11" t="n">
        <f aca="false">P353-Q353</f>
        <v>74000</v>
      </c>
      <c r="S353" s="11" t="n">
        <f aca="false">IF(Calculator!$B$6="Yes",MIN(Q353,'Tax Tables'!$B$31*'Tax Tables'!$B$32),0)</f>
        <v>96000</v>
      </c>
      <c r="T353" s="11" t="n">
        <f aca="false">S353*Calculator!$B$7</f>
        <v>19200</v>
      </c>
      <c r="U353" s="11" t="n">
        <f aca="false">S353*Calculator!$B$8</f>
        <v>16320</v>
      </c>
      <c r="V353" s="11" t="n">
        <f aca="false">IF(Q353&gt;0,'Tax Tables'!$B$32*MIN(MAX(Q353/'Tax Tables'!$B$32*'Tax Tables'!$B$33,'Tax Tables'!$B$34),'Tax Tables'!$B$35),0)</f>
        <v>135</v>
      </c>
      <c r="W353" s="11" t="n">
        <f aca="false">Calculator!$B$5-P353-U353-V353</f>
        <v>213545</v>
      </c>
      <c r="X353" s="11" t="n">
        <f aca="false">'Tax Tables'!$B$22*(MAX(W353,0)-IF(Calculator!$B$10="Yes",MIN(MAX(W353,0),'Tax Tables'!$B$27)*'Tax Tables'!$B$28+MIN(MAX(MAX(W353,0)-'Tax Tables'!$B$27,0),'Tax Tables'!$B$29)*'Tax Tables'!$B$30,MIN(MAX(W353,0),'Tax Tables'!$B$23)*'Tax Tables'!$B$24+MIN(MAX(MAX(W353,0)-'Tax Tables'!$B$23,0),'Tax Tables'!$B$25)*'Tax Tables'!$B$26))*1-MIN('Tax Tables'!$B$22*(MAX(W353,0)-IF(Calculator!$B$10="Yes",MIN(MAX(W353,0),'Tax Tables'!$B$27)*'Tax Tables'!$B$28+MIN(MAX(MAX(W353,0)-'Tax Tables'!$B$27,0),'Tax Tables'!$B$29)*'Tax Tables'!$B$30,MIN(MAX(W353,0),'Tax Tables'!$B$23)*'Tax Tables'!$B$24+MIN(MAX(MAX(W353,0)-'Tax Tables'!$B$23,0),'Tax Tables'!$B$25)*'Tax Tables'!$B$26))*Calculator!$B$11,Calculator!$B$12)</f>
        <v>18877.65</v>
      </c>
      <c r="Y353" s="11" t="n">
        <f aca="false">MAX(W353,0)-X353</f>
        <v>194667.35</v>
      </c>
      <c r="Z353" s="11" t="n">
        <f aca="false">MIN(IF(P353&gt;0,Calculator!$B$13,0)+T353+Calculator!$B$14,'Tax Tables'!$B$36)</f>
        <v>20200</v>
      </c>
      <c r="AA353" s="11" t="n">
        <f aca="false">MAX(P353-Z353,0)</f>
        <v>149800</v>
      </c>
      <c r="AB353" s="11" t="n">
        <f aca="false">SUMPRODUCT((AA353&gt;'Tax Tables'!$A$5:$A$17)*(AA353-'Tax Tables'!$A$5:$A$17)*'Tax Tables'!$C$5:$C$17)</f>
        <v>12420</v>
      </c>
      <c r="AC353" s="11" t="n">
        <f aca="false">IF(W353&lt;0,-1E+099,P353-T353-AB353+Y353+(T353+U353)*Calculator!$B$9)</f>
        <v>368567.35</v>
      </c>
    </row>
    <row r="354" customFormat="false" ht="15" hidden="false" customHeight="false" outlineLevel="0" collapsed="false">
      <c r="A354" s="11" t="n">
        <f aca="false">341*$B$3</f>
        <v>170500</v>
      </c>
      <c r="B354" s="11" t="n">
        <f aca="false">0</f>
        <v>0</v>
      </c>
      <c r="C354" s="11" t="n">
        <f aca="false">A354-B354</f>
        <v>170500</v>
      </c>
      <c r="D354" s="11" t="n">
        <f aca="false">IF(Calculator!$B$6="Yes",MIN(B354,'Tax Tables'!$B$31*'Tax Tables'!$B$32),0)</f>
        <v>0</v>
      </c>
      <c r="E354" s="11" t="n">
        <f aca="false">D354*Calculator!$B$7</f>
        <v>0</v>
      </c>
      <c r="F354" s="11" t="n">
        <f aca="false">D354*Calculator!$B$8</f>
        <v>0</v>
      </c>
      <c r="G354" s="11" t="n">
        <f aca="false">IF(B354&gt;0,'Tax Tables'!$B$32*MIN(MAX(B354/'Tax Tables'!$B$32*'Tax Tables'!$B$33,'Tax Tables'!$B$34),'Tax Tables'!$B$35),0)</f>
        <v>0</v>
      </c>
      <c r="H354" s="11" t="n">
        <f aca="false">Calculator!$B$5-A354-F354-G354</f>
        <v>229500</v>
      </c>
      <c r="I354" s="11" t="n">
        <f aca="false">'Tax Tables'!$B$22*(MAX(H354,0)-IF(Calculator!$B$10="Yes",MIN(MAX(H354,0),'Tax Tables'!$B$27)*'Tax Tables'!$B$28+MIN(MAX(MAX(H354,0)-'Tax Tables'!$B$27,0),'Tax Tables'!$B$29)*'Tax Tables'!$B$30,MIN(MAX(H354,0),'Tax Tables'!$B$23)*'Tax Tables'!$B$24+MIN(MAX(MAX(H354,0)-'Tax Tables'!$B$23,0),'Tax Tables'!$B$25)*'Tax Tables'!$B$26))*1-MIN('Tax Tables'!$B$22*(MAX(H354,0)-IF(Calculator!$B$10="Yes",MIN(MAX(H354,0),'Tax Tables'!$B$27)*'Tax Tables'!$B$28+MIN(MAX(MAX(H354,0)-'Tax Tables'!$B$27,0),'Tax Tables'!$B$29)*'Tax Tables'!$B$30,MIN(MAX(H354,0),'Tax Tables'!$B$23)*'Tax Tables'!$B$24+MIN(MAX(MAX(H354,0)-'Tax Tables'!$B$23,0),'Tax Tables'!$B$25)*'Tax Tables'!$B$26))*Calculator!$B$11,Calculator!$B$12)</f>
        <v>21590</v>
      </c>
      <c r="J354" s="11" t="n">
        <f aca="false">MAX(H354,0)-I354</f>
        <v>207910</v>
      </c>
      <c r="K354" s="11" t="n">
        <f aca="false">MIN(IF(A354&gt;0,Calculator!$B$13,0)+E354+Calculator!$B$14,'Tax Tables'!$B$36)</f>
        <v>1000</v>
      </c>
      <c r="L354" s="11" t="n">
        <f aca="false">MAX(A354-K354,0)</f>
        <v>169500</v>
      </c>
      <c r="M354" s="11" t="n">
        <f aca="false">SUMPRODUCT((L354&gt;'Tax Tables'!$A$5:$A$17)*(L354-'Tax Tables'!$A$5:$A$17)*'Tax Tables'!$C$5:$C$17)</f>
        <v>15660</v>
      </c>
      <c r="N354" s="11" t="n">
        <f aca="false">IF(H354&lt;0,-1E+099,A354-E354-M354+J354+(E354+F354)*Calculator!$B$9)</f>
        <v>362750</v>
      </c>
      <c r="O354" s="2"/>
      <c r="P354" s="11" t="n">
        <f aca="false">341*$B$3</f>
        <v>170500</v>
      </c>
      <c r="Q354" s="11" t="n">
        <f aca="false">MIN(P354,'Tax Tables'!$B$31*'Tax Tables'!$B$32)</f>
        <v>96000</v>
      </c>
      <c r="R354" s="11" t="n">
        <f aca="false">P354-Q354</f>
        <v>74500</v>
      </c>
      <c r="S354" s="11" t="n">
        <f aca="false">IF(Calculator!$B$6="Yes",MIN(Q354,'Tax Tables'!$B$31*'Tax Tables'!$B$32),0)</f>
        <v>96000</v>
      </c>
      <c r="T354" s="11" t="n">
        <f aca="false">S354*Calculator!$B$7</f>
        <v>19200</v>
      </c>
      <c r="U354" s="11" t="n">
        <f aca="false">S354*Calculator!$B$8</f>
        <v>16320</v>
      </c>
      <c r="V354" s="11" t="n">
        <f aca="false">IF(Q354&gt;0,'Tax Tables'!$B$32*MIN(MAX(Q354/'Tax Tables'!$B$32*'Tax Tables'!$B$33,'Tax Tables'!$B$34),'Tax Tables'!$B$35),0)</f>
        <v>135</v>
      </c>
      <c r="W354" s="11" t="n">
        <f aca="false">Calculator!$B$5-P354-U354-V354</f>
        <v>213045</v>
      </c>
      <c r="X354" s="11" t="n">
        <f aca="false">'Tax Tables'!$B$22*(MAX(W354,0)-IF(Calculator!$B$10="Yes",MIN(MAX(W354,0),'Tax Tables'!$B$27)*'Tax Tables'!$B$28+MIN(MAX(MAX(W354,0)-'Tax Tables'!$B$27,0),'Tax Tables'!$B$29)*'Tax Tables'!$B$30,MIN(MAX(W354,0),'Tax Tables'!$B$23)*'Tax Tables'!$B$24+MIN(MAX(MAX(W354,0)-'Tax Tables'!$B$23,0),'Tax Tables'!$B$25)*'Tax Tables'!$B$26))*1-MIN('Tax Tables'!$B$22*(MAX(W354,0)-IF(Calculator!$B$10="Yes",MIN(MAX(W354,0),'Tax Tables'!$B$27)*'Tax Tables'!$B$28+MIN(MAX(MAX(W354,0)-'Tax Tables'!$B$27,0),'Tax Tables'!$B$29)*'Tax Tables'!$B$30,MIN(MAX(W354,0),'Tax Tables'!$B$23)*'Tax Tables'!$B$24+MIN(MAX(MAX(W354,0)-'Tax Tables'!$B$23,0),'Tax Tables'!$B$25)*'Tax Tables'!$B$26))*Calculator!$B$11,Calculator!$B$12)</f>
        <v>18792.65</v>
      </c>
      <c r="Y354" s="11" t="n">
        <f aca="false">MAX(W354,0)-X354</f>
        <v>194252.35</v>
      </c>
      <c r="Z354" s="11" t="n">
        <f aca="false">MIN(IF(P354&gt;0,Calculator!$B$13,0)+T354+Calculator!$B$14,'Tax Tables'!$B$36)</f>
        <v>20200</v>
      </c>
      <c r="AA354" s="11" t="n">
        <f aca="false">MAX(P354-Z354,0)</f>
        <v>150300</v>
      </c>
      <c r="AB354" s="11" t="n">
        <f aca="false">SUMPRODUCT((AA354&gt;'Tax Tables'!$A$5:$A$17)*(AA354-'Tax Tables'!$A$5:$A$17)*'Tax Tables'!$C$5:$C$17)</f>
        <v>12495</v>
      </c>
      <c r="AC354" s="11" t="n">
        <f aca="false">IF(W354&lt;0,-1E+099,P354-T354-AB354+Y354+(T354+U354)*Calculator!$B$9)</f>
        <v>368577.35</v>
      </c>
    </row>
    <row r="355" customFormat="false" ht="15" hidden="false" customHeight="false" outlineLevel="0" collapsed="false">
      <c r="A355" s="11" t="n">
        <f aca="false">342*$B$3</f>
        <v>171000</v>
      </c>
      <c r="B355" s="11" t="n">
        <f aca="false">0</f>
        <v>0</v>
      </c>
      <c r="C355" s="11" t="n">
        <f aca="false">A355-B355</f>
        <v>171000</v>
      </c>
      <c r="D355" s="11" t="n">
        <f aca="false">IF(Calculator!$B$6="Yes",MIN(B355,'Tax Tables'!$B$31*'Tax Tables'!$B$32),0)</f>
        <v>0</v>
      </c>
      <c r="E355" s="11" t="n">
        <f aca="false">D355*Calculator!$B$7</f>
        <v>0</v>
      </c>
      <c r="F355" s="11" t="n">
        <f aca="false">D355*Calculator!$B$8</f>
        <v>0</v>
      </c>
      <c r="G355" s="11" t="n">
        <f aca="false">IF(B355&gt;0,'Tax Tables'!$B$32*MIN(MAX(B355/'Tax Tables'!$B$32*'Tax Tables'!$B$33,'Tax Tables'!$B$34),'Tax Tables'!$B$35),0)</f>
        <v>0</v>
      </c>
      <c r="H355" s="11" t="n">
        <f aca="false">Calculator!$B$5-A355-F355-G355</f>
        <v>229000</v>
      </c>
      <c r="I355" s="11" t="n">
        <f aca="false">'Tax Tables'!$B$22*(MAX(H355,0)-IF(Calculator!$B$10="Yes",MIN(MAX(H355,0),'Tax Tables'!$B$27)*'Tax Tables'!$B$28+MIN(MAX(MAX(H355,0)-'Tax Tables'!$B$27,0),'Tax Tables'!$B$29)*'Tax Tables'!$B$30,MIN(MAX(H355,0),'Tax Tables'!$B$23)*'Tax Tables'!$B$24+MIN(MAX(MAX(H355,0)-'Tax Tables'!$B$23,0),'Tax Tables'!$B$25)*'Tax Tables'!$B$26))*1-MIN('Tax Tables'!$B$22*(MAX(H355,0)-IF(Calculator!$B$10="Yes",MIN(MAX(H355,0),'Tax Tables'!$B$27)*'Tax Tables'!$B$28+MIN(MAX(MAX(H355,0)-'Tax Tables'!$B$27,0),'Tax Tables'!$B$29)*'Tax Tables'!$B$30,MIN(MAX(H355,0),'Tax Tables'!$B$23)*'Tax Tables'!$B$24+MIN(MAX(MAX(H355,0)-'Tax Tables'!$B$23,0),'Tax Tables'!$B$25)*'Tax Tables'!$B$26))*Calculator!$B$11,Calculator!$B$12)</f>
        <v>21505</v>
      </c>
      <c r="J355" s="11" t="n">
        <f aca="false">MAX(H355,0)-I355</f>
        <v>207495</v>
      </c>
      <c r="K355" s="11" t="n">
        <f aca="false">MIN(IF(A355&gt;0,Calculator!$B$13,0)+E355+Calculator!$B$14,'Tax Tables'!$B$36)</f>
        <v>1000</v>
      </c>
      <c r="L355" s="11" t="n">
        <f aca="false">MAX(A355-K355,0)</f>
        <v>170000</v>
      </c>
      <c r="M355" s="11" t="n">
        <f aca="false">SUMPRODUCT((L355&gt;'Tax Tables'!$A$5:$A$17)*(L355-'Tax Tables'!$A$5:$A$17)*'Tax Tables'!$C$5:$C$17)</f>
        <v>15750</v>
      </c>
      <c r="N355" s="11" t="n">
        <f aca="false">IF(H355&lt;0,-1E+099,A355-E355-M355+J355+(E355+F355)*Calculator!$B$9)</f>
        <v>362745</v>
      </c>
      <c r="O355" s="2"/>
      <c r="P355" s="11" t="n">
        <f aca="false">342*$B$3</f>
        <v>171000</v>
      </c>
      <c r="Q355" s="11" t="n">
        <f aca="false">MIN(P355,'Tax Tables'!$B$31*'Tax Tables'!$B$32)</f>
        <v>96000</v>
      </c>
      <c r="R355" s="11" t="n">
        <f aca="false">P355-Q355</f>
        <v>75000</v>
      </c>
      <c r="S355" s="11" t="n">
        <f aca="false">IF(Calculator!$B$6="Yes",MIN(Q355,'Tax Tables'!$B$31*'Tax Tables'!$B$32),0)</f>
        <v>96000</v>
      </c>
      <c r="T355" s="11" t="n">
        <f aca="false">S355*Calculator!$B$7</f>
        <v>19200</v>
      </c>
      <c r="U355" s="11" t="n">
        <f aca="false">S355*Calculator!$B$8</f>
        <v>16320</v>
      </c>
      <c r="V355" s="11" t="n">
        <f aca="false">IF(Q355&gt;0,'Tax Tables'!$B$32*MIN(MAX(Q355/'Tax Tables'!$B$32*'Tax Tables'!$B$33,'Tax Tables'!$B$34),'Tax Tables'!$B$35),0)</f>
        <v>135</v>
      </c>
      <c r="W355" s="11" t="n">
        <f aca="false">Calculator!$B$5-P355-U355-V355</f>
        <v>212545</v>
      </c>
      <c r="X355" s="11" t="n">
        <f aca="false">'Tax Tables'!$B$22*(MAX(W355,0)-IF(Calculator!$B$10="Yes",MIN(MAX(W355,0),'Tax Tables'!$B$27)*'Tax Tables'!$B$28+MIN(MAX(MAX(W355,0)-'Tax Tables'!$B$27,0),'Tax Tables'!$B$29)*'Tax Tables'!$B$30,MIN(MAX(W355,0),'Tax Tables'!$B$23)*'Tax Tables'!$B$24+MIN(MAX(MAX(W355,0)-'Tax Tables'!$B$23,0),'Tax Tables'!$B$25)*'Tax Tables'!$B$26))*1-MIN('Tax Tables'!$B$22*(MAX(W355,0)-IF(Calculator!$B$10="Yes",MIN(MAX(W355,0),'Tax Tables'!$B$27)*'Tax Tables'!$B$28+MIN(MAX(MAX(W355,0)-'Tax Tables'!$B$27,0),'Tax Tables'!$B$29)*'Tax Tables'!$B$30,MIN(MAX(W355,0),'Tax Tables'!$B$23)*'Tax Tables'!$B$24+MIN(MAX(MAX(W355,0)-'Tax Tables'!$B$23,0),'Tax Tables'!$B$25)*'Tax Tables'!$B$26))*Calculator!$B$11,Calculator!$B$12)</f>
        <v>18707.65</v>
      </c>
      <c r="Y355" s="11" t="n">
        <f aca="false">MAX(W355,0)-X355</f>
        <v>193837.35</v>
      </c>
      <c r="Z355" s="11" t="n">
        <f aca="false">MIN(IF(P355&gt;0,Calculator!$B$13,0)+T355+Calculator!$B$14,'Tax Tables'!$B$36)</f>
        <v>20200</v>
      </c>
      <c r="AA355" s="11" t="n">
        <f aca="false">MAX(P355-Z355,0)</f>
        <v>150800</v>
      </c>
      <c r="AB355" s="11" t="n">
        <f aca="false">SUMPRODUCT((AA355&gt;'Tax Tables'!$A$5:$A$17)*(AA355-'Tax Tables'!$A$5:$A$17)*'Tax Tables'!$C$5:$C$17)</f>
        <v>12570</v>
      </c>
      <c r="AC355" s="11" t="n">
        <f aca="false">IF(W355&lt;0,-1E+099,P355-T355-AB355+Y355+(T355+U355)*Calculator!$B$9)</f>
        <v>368587.35</v>
      </c>
    </row>
    <row r="356" customFormat="false" ht="15" hidden="false" customHeight="false" outlineLevel="0" collapsed="false">
      <c r="A356" s="11" t="n">
        <f aca="false">343*$B$3</f>
        <v>171500</v>
      </c>
      <c r="B356" s="11" t="n">
        <f aca="false">0</f>
        <v>0</v>
      </c>
      <c r="C356" s="11" t="n">
        <f aca="false">A356-B356</f>
        <v>171500</v>
      </c>
      <c r="D356" s="11" t="n">
        <f aca="false">IF(Calculator!$B$6="Yes",MIN(B356,'Tax Tables'!$B$31*'Tax Tables'!$B$32),0)</f>
        <v>0</v>
      </c>
      <c r="E356" s="11" t="n">
        <f aca="false">D356*Calculator!$B$7</f>
        <v>0</v>
      </c>
      <c r="F356" s="11" t="n">
        <f aca="false">D356*Calculator!$B$8</f>
        <v>0</v>
      </c>
      <c r="G356" s="11" t="n">
        <f aca="false">IF(B356&gt;0,'Tax Tables'!$B$32*MIN(MAX(B356/'Tax Tables'!$B$32*'Tax Tables'!$B$33,'Tax Tables'!$B$34),'Tax Tables'!$B$35),0)</f>
        <v>0</v>
      </c>
      <c r="H356" s="11" t="n">
        <f aca="false">Calculator!$B$5-A356-F356-G356</f>
        <v>228500</v>
      </c>
      <c r="I356" s="11" t="n">
        <f aca="false">'Tax Tables'!$B$22*(MAX(H356,0)-IF(Calculator!$B$10="Yes",MIN(MAX(H356,0),'Tax Tables'!$B$27)*'Tax Tables'!$B$28+MIN(MAX(MAX(H356,0)-'Tax Tables'!$B$27,0),'Tax Tables'!$B$29)*'Tax Tables'!$B$30,MIN(MAX(H356,0),'Tax Tables'!$B$23)*'Tax Tables'!$B$24+MIN(MAX(MAX(H356,0)-'Tax Tables'!$B$23,0),'Tax Tables'!$B$25)*'Tax Tables'!$B$26))*1-MIN('Tax Tables'!$B$22*(MAX(H356,0)-IF(Calculator!$B$10="Yes",MIN(MAX(H356,0),'Tax Tables'!$B$27)*'Tax Tables'!$B$28+MIN(MAX(MAX(H356,0)-'Tax Tables'!$B$27,0),'Tax Tables'!$B$29)*'Tax Tables'!$B$30,MIN(MAX(H356,0),'Tax Tables'!$B$23)*'Tax Tables'!$B$24+MIN(MAX(MAX(H356,0)-'Tax Tables'!$B$23,0),'Tax Tables'!$B$25)*'Tax Tables'!$B$26))*Calculator!$B$11,Calculator!$B$12)</f>
        <v>21420</v>
      </c>
      <c r="J356" s="11" t="n">
        <f aca="false">MAX(H356,0)-I356</f>
        <v>207080</v>
      </c>
      <c r="K356" s="11" t="n">
        <f aca="false">MIN(IF(A356&gt;0,Calculator!$B$13,0)+E356+Calculator!$B$14,'Tax Tables'!$B$36)</f>
        <v>1000</v>
      </c>
      <c r="L356" s="11" t="n">
        <f aca="false">MAX(A356-K356,0)</f>
        <v>170500</v>
      </c>
      <c r="M356" s="11" t="n">
        <f aca="false">SUMPRODUCT((L356&gt;'Tax Tables'!$A$5:$A$17)*(L356-'Tax Tables'!$A$5:$A$17)*'Tax Tables'!$C$5:$C$17)</f>
        <v>15840</v>
      </c>
      <c r="N356" s="11" t="n">
        <f aca="false">IF(H356&lt;0,-1E+099,A356-E356-M356+J356+(E356+F356)*Calculator!$B$9)</f>
        <v>362740</v>
      </c>
      <c r="O356" s="2"/>
      <c r="P356" s="11" t="n">
        <f aca="false">343*$B$3</f>
        <v>171500</v>
      </c>
      <c r="Q356" s="11" t="n">
        <f aca="false">MIN(P356,'Tax Tables'!$B$31*'Tax Tables'!$B$32)</f>
        <v>96000</v>
      </c>
      <c r="R356" s="11" t="n">
        <f aca="false">P356-Q356</f>
        <v>75500</v>
      </c>
      <c r="S356" s="11" t="n">
        <f aca="false">IF(Calculator!$B$6="Yes",MIN(Q356,'Tax Tables'!$B$31*'Tax Tables'!$B$32),0)</f>
        <v>96000</v>
      </c>
      <c r="T356" s="11" t="n">
        <f aca="false">S356*Calculator!$B$7</f>
        <v>19200</v>
      </c>
      <c r="U356" s="11" t="n">
        <f aca="false">S356*Calculator!$B$8</f>
        <v>16320</v>
      </c>
      <c r="V356" s="11" t="n">
        <f aca="false">IF(Q356&gt;0,'Tax Tables'!$B$32*MIN(MAX(Q356/'Tax Tables'!$B$32*'Tax Tables'!$B$33,'Tax Tables'!$B$34),'Tax Tables'!$B$35),0)</f>
        <v>135</v>
      </c>
      <c r="W356" s="11" t="n">
        <f aca="false">Calculator!$B$5-P356-U356-V356</f>
        <v>212045</v>
      </c>
      <c r="X356" s="11" t="n">
        <f aca="false">'Tax Tables'!$B$22*(MAX(W356,0)-IF(Calculator!$B$10="Yes",MIN(MAX(W356,0),'Tax Tables'!$B$27)*'Tax Tables'!$B$28+MIN(MAX(MAX(W356,0)-'Tax Tables'!$B$27,0),'Tax Tables'!$B$29)*'Tax Tables'!$B$30,MIN(MAX(W356,0),'Tax Tables'!$B$23)*'Tax Tables'!$B$24+MIN(MAX(MAX(W356,0)-'Tax Tables'!$B$23,0),'Tax Tables'!$B$25)*'Tax Tables'!$B$26))*1-MIN('Tax Tables'!$B$22*(MAX(W356,0)-IF(Calculator!$B$10="Yes",MIN(MAX(W356,0),'Tax Tables'!$B$27)*'Tax Tables'!$B$28+MIN(MAX(MAX(W356,0)-'Tax Tables'!$B$27,0),'Tax Tables'!$B$29)*'Tax Tables'!$B$30,MIN(MAX(W356,0),'Tax Tables'!$B$23)*'Tax Tables'!$B$24+MIN(MAX(MAX(W356,0)-'Tax Tables'!$B$23,0),'Tax Tables'!$B$25)*'Tax Tables'!$B$26))*Calculator!$B$11,Calculator!$B$12)</f>
        <v>18622.65</v>
      </c>
      <c r="Y356" s="11" t="n">
        <f aca="false">MAX(W356,0)-X356</f>
        <v>193422.35</v>
      </c>
      <c r="Z356" s="11" t="n">
        <f aca="false">MIN(IF(P356&gt;0,Calculator!$B$13,0)+T356+Calculator!$B$14,'Tax Tables'!$B$36)</f>
        <v>20200</v>
      </c>
      <c r="AA356" s="11" t="n">
        <f aca="false">MAX(P356-Z356,0)</f>
        <v>151300</v>
      </c>
      <c r="AB356" s="11" t="n">
        <f aca="false">SUMPRODUCT((AA356&gt;'Tax Tables'!$A$5:$A$17)*(AA356-'Tax Tables'!$A$5:$A$17)*'Tax Tables'!$C$5:$C$17)</f>
        <v>12645</v>
      </c>
      <c r="AC356" s="11" t="n">
        <f aca="false">IF(W356&lt;0,-1E+099,P356-T356-AB356+Y356+(T356+U356)*Calculator!$B$9)</f>
        <v>368597.35</v>
      </c>
    </row>
    <row r="357" customFormat="false" ht="15" hidden="false" customHeight="false" outlineLevel="0" collapsed="false">
      <c r="A357" s="11" t="n">
        <f aca="false">344*$B$3</f>
        <v>172000</v>
      </c>
      <c r="B357" s="11" t="n">
        <f aca="false">0</f>
        <v>0</v>
      </c>
      <c r="C357" s="11" t="n">
        <f aca="false">A357-B357</f>
        <v>172000</v>
      </c>
      <c r="D357" s="11" t="n">
        <f aca="false">IF(Calculator!$B$6="Yes",MIN(B357,'Tax Tables'!$B$31*'Tax Tables'!$B$32),0)</f>
        <v>0</v>
      </c>
      <c r="E357" s="11" t="n">
        <f aca="false">D357*Calculator!$B$7</f>
        <v>0</v>
      </c>
      <c r="F357" s="11" t="n">
        <f aca="false">D357*Calculator!$B$8</f>
        <v>0</v>
      </c>
      <c r="G357" s="11" t="n">
        <f aca="false">IF(B357&gt;0,'Tax Tables'!$B$32*MIN(MAX(B357/'Tax Tables'!$B$32*'Tax Tables'!$B$33,'Tax Tables'!$B$34),'Tax Tables'!$B$35),0)</f>
        <v>0</v>
      </c>
      <c r="H357" s="11" t="n">
        <f aca="false">Calculator!$B$5-A357-F357-G357</f>
        <v>228000</v>
      </c>
      <c r="I357" s="11" t="n">
        <f aca="false">'Tax Tables'!$B$22*(MAX(H357,0)-IF(Calculator!$B$10="Yes",MIN(MAX(H357,0),'Tax Tables'!$B$27)*'Tax Tables'!$B$28+MIN(MAX(MAX(H357,0)-'Tax Tables'!$B$27,0),'Tax Tables'!$B$29)*'Tax Tables'!$B$30,MIN(MAX(H357,0),'Tax Tables'!$B$23)*'Tax Tables'!$B$24+MIN(MAX(MAX(H357,0)-'Tax Tables'!$B$23,0),'Tax Tables'!$B$25)*'Tax Tables'!$B$26))*1-MIN('Tax Tables'!$B$22*(MAX(H357,0)-IF(Calculator!$B$10="Yes",MIN(MAX(H357,0),'Tax Tables'!$B$27)*'Tax Tables'!$B$28+MIN(MAX(MAX(H357,0)-'Tax Tables'!$B$27,0),'Tax Tables'!$B$29)*'Tax Tables'!$B$30,MIN(MAX(H357,0),'Tax Tables'!$B$23)*'Tax Tables'!$B$24+MIN(MAX(MAX(H357,0)-'Tax Tables'!$B$23,0),'Tax Tables'!$B$25)*'Tax Tables'!$B$26))*Calculator!$B$11,Calculator!$B$12)</f>
        <v>21335</v>
      </c>
      <c r="J357" s="11" t="n">
        <f aca="false">MAX(H357,0)-I357</f>
        <v>206665</v>
      </c>
      <c r="K357" s="11" t="n">
        <f aca="false">MIN(IF(A357&gt;0,Calculator!$B$13,0)+E357+Calculator!$B$14,'Tax Tables'!$B$36)</f>
        <v>1000</v>
      </c>
      <c r="L357" s="11" t="n">
        <f aca="false">MAX(A357-K357,0)</f>
        <v>171000</v>
      </c>
      <c r="M357" s="11" t="n">
        <f aca="false">SUMPRODUCT((L357&gt;'Tax Tables'!$A$5:$A$17)*(L357-'Tax Tables'!$A$5:$A$17)*'Tax Tables'!$C$5:$C$17)</f>
        <v>15930</v>
      </c>
      <c r="N357" s="11" t="n">
        <f aca="false">IF(H357&lt;0,-1E+099,A357-E357-M357+J357+(E357+F357)*Calculator!$B$9)</f>
        <v>362735</v>
      </c>
      <c r="O357" s="2"/>
      <c r="P357" s="11" t="n">
        <f aca="false">344*$B$3</f>
        <v>172000</v>
      </c>
      <c r="Q357" s="11" t="n">
        <f aca="false">MIN(P357,'Tax Tables'!$B$31*'Tax Tables'!$B$32)</f>
        <v>96000</v>
      </c>
      <c r="R357" s="11" t="n">
        <f aca="false">P357-Q357</f>
        <v>76000</v>
      </c>
      <c r="S357" s="11" t="n">
        <f aca="false">IF(Calculator!$B$6="Yes",MIN(Q357,'Tax Tables'!$B$31*'Tax Tables'!$B$32),0)</f>
        <v>96000</v>
      </c>
      <c r="T357" s="11" t="n">
        <f aca="false">S357*Calculator!$B$7</f>
        <v>19200</v>
      </c>
      <c r="U357" s="11" t="n">
        <f aca="false">S357*Calculator!$B$8</f>
        <v>16320</v>
      </c>
      <c r="V357" s="11" t="n">
        <f aca="false">IF(Q357&gt;0,'Tax Tables'!$B$32*MIN(MAX(Q357/'Tax Tables'!$B$32*'Tax Tables'!$B$33,'Tax Tables'!$B$34),'Tax Tables'!$B$35),0)</f>
        <v>135</v>
      </c>
      <c r="W357" s="11" t="n">
        <f aca="false">Calculator!$B$5-P357-U357-V357</f>
        <v>211545</v>
      </c>
      <c r="X357" s="11" t="n">
        <f aca="false">'Tax Tables'!$B$22*(MAX(W357,0)-IF(Calculator!$B$10="Yes",MIN(MAX(W357,0),'Tax Tables'!$B$27)*'Tax Tables'!$B$28+MIN(MAX(MAX(W357,0)-'Tax Tables'!$B$27,0),'Tax Tables'!$B$29)*'Tax Tables'!$B$30,MIN(MAX(W357,0),'Tax Tables'!$B$23)*'Tax Tables'!$B$24+MIN(MAX(MAX(W357,0)-'Tax Tables'!$B$23,0),'Tax Tables'!$B$25)*'Tax Tables'!$B$26))*1-MIN('Tax Tables'!$B$22*(MAX(W357,0)-IF(Calculator!$B$10="Yes",MIN(MAX(W357,0),'Tax Tables'!$B$27)*'Tax Tables'!$B$28+MIN(MAX(MAX(W357,0)-'Tax Tables'!$B$27,0),'Tax Tables'!$B$29)*'Tax Tables'!$B$30,MIN(MAX(W357,0),'Tax Tables'!$B$23)*'Tax Tables'!$B$24+MIN(MAX(MAX(W357,0)-'Tax Tables'!$B$23,0),'Tax Tables'!$B$25)*'Tax Tables'!$B$26))*Calculator!$B$11,Calculator!$B$12)</f>
        <v>18537.65</v>
      </c>
      <c r="Y357" s="11" t="n">
        <f aca="false">MAX(W357,0)-X357</f>
        <v>193007.35</v>
      </c>
      <c r="Z357" s="11" t="n">
        <f aca="false">MIN(IF(P357&gt;0,Calculator!$B$13,0)+T357+Calculator!$B$14,'Tax Tables'!$B$36)</f>
        <v>20200</v>
      </c>
      <c r="AA357" s="11" t="n">
        <f aca="false">MAX(P357-Z357,0)</f>
        <v>151800</v>
      </c>
      <c r="AB357" s="11" t="n">
        <f aca="false">SUMPRODUCT((AA357&gt;'Tax Tables'!$A$5:$A$17)*(AA357-'Tax Tables'!$A$5:$A$17)*'Tax Tables'!$C$5:$C$17)</f>
        <v>12720</v>
      </c>
      <c r="AC357" s="11" t="n">
        <f aca="false">IF(W357&lt;0,-1E+099,P357-T357-AB357+Y357+(T357+U357)*Calculator!$B$9)</f>
        <v>368607.35</v>
      </c>
    </row>
    <row r="358" customFormat="false" ht="15" hidden="false" customHeight="false" outlineLevel="0" collapsed="false">
      <c r="A358" s="11" t="n">
        <f aca="false">345*$B$3</f>
        <v>172500</v>
      </c>
      <c r="B358" s="11" t="n">
        <f aca="false">0</f>
        <v>0</v>
      </c>
      <c r="C358" s="11" t="n">
        <f aca="false">A358-B358</f>
        <v>172500</v>
      </c>
      <c r="D358" s="11" t="n">
        <f aca="false">IF(Calculator!$B$6="Yes",MIN(B358,'Tax Tables'!$B$31*'Tax Tables'!$B$32),0)</f>
        <v>0</v>
      </c>
      <c r="E358" s="11" t="n">
        <f aca="false">D358*Calculator!$B$7</f>
        <v>0</v>
      </c>
      <c r="F358" s="11" t="n">
        <f aca="false">D358*Calculator!$B$8</f>
        <v>0</v>
      </c>
      <c r="G358" s="11" t="n">
        <f aca="false">IF(B358&gt;0,'Tax Tables'!$B$32*MIN(MAX(B358/'Tax Tables'!$B$32*'Tax Tables'!$B$33,'Tax Tables'!$B$34),'Tax Tables'!$B$35),0)</f>
        <v>0</v>
      </c>
      <c r="H358" s="11" t="n">
        <f aca="false">Calculator!$B$5-A358-F358-G358</f>
        <v>227500</v>
      </c>
      <c r="I358" s="11" t="n">
        <f aca="false">'Tax Tables'!$B$22*(MAX(H358,0)-IF(Calculator!$B$10="Yes",MIN(MAX(H358,0),'Tax Tables'!$B$27)*'Tax Tables'!$B$28+MIN(MAX(MAX(H358,0)-'Tax Tables'!$B$27,0),'Tax Tables'!$B$29)*'Tax Tables'!$B$30,MIN(MAX(H358,0),'Tax Tables'!$B$23)*'Tax Tables'!$B$24+MIN(MAX(MAX(H358,0)-'Tax Tables'!$B$23,0),'Tax Tables'!$B$25)*'Tax Tables'!$B$26))*1-MIN('Tax Tables'!$B$22*(MAX(H358,0)-IF(Calculator!$B$10="Yes",MIN(MAX(H358,0),'Tax Tables'!$B$27)*'Tax Tables'!$B$28+MIN(MAX(MAX(H358,0)-'Tax Tables'!$B$27,0),'Tax Tables'!$B$29)*'Tax Tables'!$B$30,MIN(MAX(H358,0),'Tax Tables'!$B$23)*'Tax Tables'!$B$24+MIN(MAX(MAX(H358,0)-'Tax Tables'!$B$23,0),'Tax Tables'!$B$25)*'Tax Tables'!$B$26))*Calculator!$B$11,Calculator!$B$12)</f>
        <v>21250</v>
      </c>
      <c r="J358" s="11" t="n">
        <f aca="false">MAX(H358,0)-I358</f>
        <v>206250</v>
      </c>
      <c r="K358" s="11" t="n">
        <f aca="false">MIN(IF(A358&gt;0,Calculator!$B$13,0)+E358+Calculator!$B$14,'Tax Tables'!$B$36)</f>
        <v>1000</v>
      </c>
      <c r="L358" s="11" t="n">
        <f aca="false">MAX(A358-K358,0)</f>
        <v>171500</v>
      </c>
      <c r="M358" s="11" t="n">
        <f aca="false">SUMPRODUCT((L358&gt;'Tax Tables'!$A$5:$A$17)*(L358-'Tax Tables'!$A$5:$A$17)*'Tax Tables'!$C$5:$C$17)</f>
        <v>16020</v>
      </c>
      <c r="N358" s="11" t="n">
        <f aca="false">IF(H358&lt;0,-1E+099,A358-E358-M358+J358+(E358+F358)*Calculator!$B$9)</f>
        <v>362730</v>
      </c>
      <c r="O358" s="2"/>
      <c r="P358" s="11" t="n">
        <f aca="false">345*$B$3</f>
        <v>172500</v>
      </c>
      <c r="Q358" s="11" t="n">
        <f aca="false">MIN(P358,'Tax Tables'!$B$31*'Tax Tables'!$B$32)</f>
        <v>96000</v>
      </c>
      <c r="R358" s="11" t="n">
        <f aca="false">P358-Q358</f>
        <v>76500</v>
      </c>
      <c r="S358" s="11" t="n">
        <f aca="false">IF(Calculator!$B$6="Yes",MIN(Q358,'Tax Tables'!$B$31*'Tax Tables'!$B$32),0)</f>
        <v>96000</v>
      </c>
      <c r="T358" s="11" t="n">
        <f aca="false">S358*Calculator!$B$7</f>
        <v>19200</v>
      </c>
      <c r="U358" s="11" t="n">
        <f aca="false">S358*Calculator!$B$8</f>
        <v>16320</v>
      </c>
      <c r="V358" s="11" t="n">
        <f aca="false">IF(Q358&gt;0,'Tax Tables'!$B$32*MIN(MAX(Q358/'Tax Tables'!$B$32*'Tax Tables'!$B$33,'Tax Tables'!$B$34),'Tax Tables'!$B$35),0)</f>
        <v>135</v>
      </c>
      <c r="W358" s="11" t="n">
        <f aca="false">Calculator!$B$5-P358-U358-V358</f>
        <v>211045</v>
      </c>
      <c r="X358" s="11" t="n">
        <f aca="false">'Tax Tables'!$B$22*(MAX(W358,0)-IF(Calculator!$B$10="Yes",MIN(MAX(W358,0),'Tax Tables'!$B$27)*'Tax Tables'!$B$28+MIN(MAX(MAX(W358,0)-'Tax Tables'!$B$27,0),'Tax Tables'!$B$29)*'Tax Tables'!$B$30,MIN(MAX(W358,0),'Tax Tables'!$B$23)*'Tax Tables'!$B$24+MIN(MAX(MAX(W358,0)-'Tax Tables'!$B$23,0),'Tax Tables'!$B$25)*'Tax Tables'!$B$26))*1-MIN('Tax Tables'!$B$22*(MAX(W358,0)-IF(Calculator!$B$10="Yes",MIN(MAX(W358,0),'Tax Tables'!$B$27)*'Tax Tables'!$B$28+MIN(MAX(MAX(W358,0)-'Tax Tables'!$B$27,0),'Tax Tables'!$B$29)*'Tax Tables'!$B$30,MIN(MAX(W358,0),'Tax Tables'!$B$23)*'Tax Tables'!$B$24+MIN(MAX(MAX(W358,0)-'Tax Tables'!$B$23,0),'Tax Tables'!$B$25)*'Tax Tables'!$B$26))*Calculator!$B$11,Calculator!$B$12)</f>
        <v>18452.65</v>
      </c>
      <c r="Y358" s="11" t="n">
        <f aca="false">MAX(W358,0)-X358</f>
        <v>192592.35</v>
      </c>
      <c r="Z358" s="11" t="n">
        <f aca="false">MIN(IF(P358&gt;0,Calculator!$B$13,0)+T358+Calculator!$B$14,'Tax Tables'!$B$36)</f>
        <v>20200</v>
      </c>
      <c r="AA358" s="11" t="n">
        <f aca="false">MAX(P358-Z358,0)</f>
        <v>152300</v>
      </c>
      <c r="AB358" s="11" t="n">
        <f aca="false">SUMPRODUCT((AA358&gt;'Tax Tables'!$A$5:$A$17)*(AA358-'Tax Tables'!$A$5:$A$17)*'Tax Tables'!$C$5:$C$17)</f>
        <v>12795</v>
      </c>
      <c r="AC358" s="11" t="n">
        <f aca="false">IF(W358&lt;0,-1E+099,P358-T358-AB358+Y358+(T358+U358)*Calculator!$B$9)</f>
        <v>368617.35</v>
      </c>
    </row>
    <row r="359" customFormat="false" ht="15" hidden="false" customHeight="false" outlineLevel="0" collapsed="false">
      <c r="A359" s="11" t="n">
        <f aca="false">346*$B$3</f>
        <v>173000</v>
      </c>
      <c r="B359" s="11" t="n">
        <f aca="false">0</f>
        <v>0</v>
      </c>
      <c r="C359" s="11" t="n">
        <f aca="false">A359-B359</f>
        <v>173000</v>
      </c>
      <c r="D359" s="11" t="n">
        <f aca="false">IF(Calculator!$B$6="Yes",MIN(B359,'Tax Tables'!$B$31*'Tax Tables'!$B$32),0)</f>
        <v>0</v>
      </c>
      <c r="E359" s="11" t="n">
        <f aca="false">D359*Calculator!$B$7</f>
        <v>0</v>
      </c>
      <c r="F359" s="11" t="n">
        <f aca="false">D359*Calculator!$B$8</f>
        <v>0</v>
      </c>
      <c r="G359" s="11" t="n">
        <f aca="false">IF(B359&gt;0,'Tax Tables'!$B$32*MIN(MAX(B359/'Tax Tables'!$B$32*'Tax Tables'!$B$33,'Tax Tables'!$B$34),'Tax Tables'!$B$35),0)</f>
        <v>0</v>
      </c>
      <c r="H359" s="11" t="n">
        <f aca="false">Calculator!$B$5-A359-F359-G359</f>
        <v>227000</v>
      </c>
      <c r="I359" s="11" t="n">
        <f aca="false">'Tax Tables'!$B$22*(MAX(H359,0)-IF(Calculator!$B$10="Yes",MIN(MAX(H359,0),'Tax Tables'!$B$27)*'Tax Tables'!$B$28+MIN(MAX(MAX(H359,0)-'Tax Tables'!$B$27,0),'Tax Tables'!$B$29)*'Tax Tables'!$B$30,MIN(MAX(H359,0),'Tax Tables'!$B$23)*'Tax Tables'!$B$24+MIN(MAX(MAX(H359,0)-'Tax Tables'!$B$23,0),'Tax Tables'!$B$25)*'Tax Tables'!$B$26))*1-MIN('Tax Tables'!$B$22*(MAX(H359,0)-IF(Calculator!$B$10="Yes",MIN(MAX(H359,0),'Tax Tables'!$B$27)*'Tax Tables'!$B$28+MIN(MAX(MAX(H359,0)-'Tax Tables'!$B$27,0),'Tax Tables'!$B$29)*'Tax Tables'!$B$30,MIN(MAX(H359,0),'Tax Tables'!$B$23)*'Tax Tables'!$B$24+MIN(MAX(MAX(H359,0)-'Tax Tables'!$B$23,0),'Tax Tables'!$B$25)*'Tax Tables'!$B$26))*Calculator!$B$11,Calculator!$B$12)</f>
        <v>21165</v>
      </c>
      <c r="J359" s="11" t="n">
        <f aca="false">MAX(H359,0)-I359</f>
        <v>205835</v>
      </c>
      <c r="K359" s="11" t="n">
        <f aca="false">MIN(IF(A359&gt;0,Calculator!$B$13,0)+E359+Calculator!$B$14,'Tax Tables'!$B$36)</f>
        <v>1000</v>
      </c>
      <c r="L359" s="11" t="n">
        <f aca="false">MAX(A359-K359,0)</f>
        <v>172000</v>
      </c>
      <c r="M359" s="11" t="n">
        <f aca="false">SUMPRODUCT((L359&gt;'Tax Tables'!$A$5:$A$17)*(L359-'Tax Tables'!$A$5:$A$17)*'Tax Tables'!$C$5:$C$17)</f>
        <v>16110</v>
      </c>
      <c r="N359" s="11" t="n">
        <f aca="false">IF(H359&lt;0,-1E+099,A359-E359-M359+J359+(E359+F359)*Calculator!$B$9)</f>
        <v>362725</v>
      </c>
      <c r="O359" s="2"/>
      <c r="P359" s="11" t="n">
        <f aca="false">346*$B$3</f>
        <v>173000</v>
      </c>
      <c r="Q359" s="11" t="n">
        <f aca="false">MIN(P359,'Tax Tables'!$B$31*'Tax Tables'!$B$32)</f>
        <v>96000</v>
      </c>
      <c r="R359" s="11" t="n">
        <f aca="false">P359-Q359</f>
        <v>77000</v>
      </c>
      <c r="S359" s="11" t="n">
        <f aca="false">IF(Calculator!$B$6="Yes",MIN(Q359,'Tax Tables'!$B$31*'Tax Tables'!$B$32),0)</f>
        <v>96000</v>
      </c>
      <c r="T359" s="11" t="n">
        <f aca="false">S359*Calculator!$B$7</f>
        <v>19200</v>
      </c>
      <c r="U359" s="11" t="n">
        <f aca="false">S359*Calculator!$B$8</f>
        <v>16320</v>
      </c>
      <c r="V359" s="11" t="n">
        <f aca="false">IF(Q359&gt;0,'Tax Tables'!$B$32*MIN(MAX(Q359/'Tax Tables'!$B$32*'Tax Tables'!$B$33,'Tax Tables'!$B$34),'Tax Tables'!$B$35),0)</f>
        <v>135</v>
      </c>
      <c r="W359" s="11" t="n">
        <f aca="false">Calculator!$B$5-P359-U359-V359</f>
        <v>210545</v>
      </c>
      <c r="X359" s="11" t="n">
        <f aca="false">'Tax Tables'!$B$22*(MAX(W359,0)-IF(Calculator!$B$10="Yes",MIN(MAX(W359,0),'Tax Tables'!$B$27)*'Tax Tables'!$B$28+MIN(MAX(MAX(W359,0)-'Tax Tables'!$B$27,0),'Tax Tables'!$B$29)*'Tax Tables'!$B$30,MIN(MAX(W359,0),'Tax Tables'!$B$23)*'Tax Tables'!$B$24+MIN(MAX(MAX(W359,0)-'Tax Tables'!$B$23,0),'Tax Tables'!$B$25)*'Tax Tables'!$B$26))*1-MIN('Tax Tables'!$B$22*(MAX(W359,0)-IF(Calculator!$B$10="Yes",MIN(MAX(W359,0),'Tax Tables'!$B$27)*'Tax Tables'!$B$28+MIN(MAX(MAX(W359,0)-'Tax Tables'!$B$27,0),'Tax Tables'!$B$29)*'Tax Tables'!$B$30,MIN(MAX(W359,0),'Tax Tables'!$B$23)*'Tax Tables'!$B$24+MIN(MAX(MAX(W359,0)-'Tax Tables'!$B$23,0),'Tax Tables'!$B$25)*'Tax Tables'!$B$26))*Calculator!$B$11,Calculator!$B$12)</f>
        <v>18367.65</v>
      </c>
      <c r="Y359" s="11" t="n">
        <f aca="false">MAX(W359,0)-X359</f>
        <v>192177.35</v>
      </c>
      <c r="Z359" s="11" t="n">
        <f aca="false">MIN(IF(P359&gt;0,Calculator!$B$13,0)+T359+Calculator!$B$14,'Tax Tables'!$B$36)</f>
        <v>20200</v>
      </c>
      <c r="AA359" s="11" t="n">
        <f aca="false">MAX(P359-Z359,0)</f>
        <v>152800</v>
      </c>
      <c r="AB359" s="11" t="n">
        <f aca="false">SUMPRODUCT((AA359&gt;'Tax Tables'!$A$5:$A$17)*(AA359-'Tax Tables'!$A$5:$A$17)*'Tax Tables'!$C$5:$C$17)</f>
        <v>12870</v>
      </c>
      <c r="AC359" s="11" t="n">
        <f aca="false">IF(W359&lt;0,-1E+099,P359-T359-AB359+Y359+(T359+U359)*Calculator!$B$9)</f>
        <v>368627.35</v>
      </c>
    </row>
    <row r="360" customFormat="false" ht="15" hidden="false" customHeight="false" outlineLevel="0" collapsed="false">
      <c r="A360" s="11" t="n">
        <f aca="false">347*$B$3</f>
        <v>173500</v>
      </c>
      <c r="B360" s="11" t="n">
        <f aca="false">0</f>
        <v>0</v>
      </c>
      <c r="C360" s="11" t="n">
        <f aca="false">A360-B360</f>
        <v>173500</v>
      </c>
      <c r="D360" s="11" t="n">
        <f aca="false">IF(Calculator!$B$6="Yes",MIN(B360,'Tax Tables'!$B$31*'Tax Tables'!$B$32),0)</f>
        <v>0</v>
      </c>
      <c r="E360" s="11" t="n">
        <f aca="false">D360*Calculator!$B$7</f>
        <v>0</v>
      </c>
      <c r="F360" s="11" t="n">
        <f aca="false">D360*Calculator!$B$8</f>
        <v>0</v>
      </c>
      <c r="G360" s="11" t="n">
        <f aca="false">IF(B360&gt;0,'Tax Tables'!$B$32*MIN(MAX(B360/'Tax Tables'!$B$32*'Tax Tables'!$B$33,'Tax Tables'!$B$34),'Tax Tables'!$B$35),0)</f>
        <v>0</v>
      </c>
      <c r="H360" s="11" t="n">
        <f aca="false">Calculator!$B$5-A360-F360-G360</f>
        <v>226500</v>
      </c>
      <c r="I360" s="11" t="n">
        <f aca="false">'Tax Tables'!$B$22*(MAX(H360,0)-IF(Calculator!$B$10="Yes",MIN(MAX(H360,0),'Tax Tables'!$B$27)*'Tax Tables'!$B$28+MIN(MAX(MAX(H360,0)-'Tax Tables'!$B$27,0),'Tax Tables'!$B$29)*'Tax Tables'!$B$30,MIN(MAX(H360,0),'Tax Tables'!$B$23)*'Tax Tables'!$B$24+MIN(MAX(MAX(H360,0)-'Tax Tables'!$B$23,0),'Tax Tables'!$B$25)*'Tax Tables'!$B$26))*1-MIN('Tax Tables'!$B$22*(MAX(H360,0)-IF(Calculator!$B$10="Yes",MIN(MAX(H360,0),'Tax Tables'!$B$27)*'Tax Tables'!$B$28+MIN(MAX(MAX(H360,0)-'Tax Tables'!$B$27,0),'Tax Tables'!$B$29)*'Tax Tables'!$B$30,MIN(MAX(H360,0),'Tax Tables'!$B$23)*'Tax Tables'!$B$24+MIN(MAX(MAX(H360,0)-'Tax Tables'!$B$23,0),'Tax Tables'!$B$25)*'Tax Tables'!$B$26))*Calculator!$B$11,Calculator!$B$12)</f>
        <v>21080</v>
      </c>
      <c r="J360" s="11" t="n">
        <f aca="false">MAX(H360,0)-I360</f>
        <v>205420</v>
      </c>
      <c r="K360" s="11" t="n">
        <f aca="false">MIN(IF(A360&gt;0,Calculator!$B$13,0)+E360+Calculator!$B$14,'Tax Tables'!$B$36)</f>
        <v>1000</v>
      </c>
      <c r="L360" s="11" t="n">
        <f aca="false">MAX(A360-K360,0)</f>
        <v>172500</v>
      </c>
      <c r="M360" s="11" t="n">
        <f aca="false">SUMPRODUCT((L360&gt;'Tax Tables'!$A$5:$A$17)*(L360-'Tax Tables'!$A$5:$A$17)*'Tax Tables'!$C$5:$C$17)</f>
        <v>16200</v>
      </c>
      <c r="N360" s="11" t="n">
        <f aca="false">IF(H360&lt;0,-1E+099,A360-E360-M360+J360+(E360+F360)*Calculator!$B$9)</f>
        <v>362720</v>
      </c>
      <c r="O360" s="2"/>
      <c r="P360" s="11" t="n">
        <f aca="false">347*$B$3</f>
        <v>173500</v>
      </c>
      <c r="Q360" s="11" t="n">
        <f aca="false">MIN(P360,'Tax Tables'!$B$31*'Tax Tables'!$B$32)</f>
        <v>96000</v>
      </c>
      <c r="R360" s="11" t="n">
        <f aca="false">P360-Q360</f>
        <v>77500</v>
      </c>
      <c r="S360" s="11" t="n">
        <f aca="false">IF(Calculator!$B$6="Yes",MIN(Q360,'Tax Tables'!$B$31*'Tax Tables'!$B$32),0)</f>
        <v>96000</v>
      </c>
      <c r="T360" s="11" t="n">
        <f aca="false">S360*Calculator!$B$7</f>
        <v>19200</v>
      </c>
      <c r="U360" s="11" t="n">
        <f aca="false">S360*Calculator!$B$8</f>
        <v>16320</v>
      </c>
      <c r="V360" s="11" t="n">
        <f aca="false">IF(Q360&gt;0,'Tax Tables'!$B$32*MIN(MAX(Q360/'Tax Tables'!$B$32*'Tax Tables'!$B$33,'Tax Tables'!$B$34),'Tax Tables'!$B$35),0)</f>
        <v>135</v>
      </c>
      <c r="W360" s="11" t="n">
        <f aca="false">Calculator!$B$5-P360-U360-V360</f>
        <v>210045</v>
      </c>
      <c r="X360" s="11" t="n">
        <f aca="false">'Tax Tables'!$B$22*(MAX(W360,0)-IF(Calculator!$B$10="Yes",MIN(MAX(W360,0),'Tax Tables'!$B$27)*'Tax Tables'!$B$28+MIN(MAX(MAX(W360,0)-'Tax Tables'!$B$27,0),'Tax Tables'!$B$29)*'Tax Tables'!$B$30,MIN(MAX(W360,0),'Tax Tables'!$B$23)*'Tax Tables'!$B$24+MIN(MAX(MAX(W360,0)-'Tax Tables'!$B$23,0),'Tax Tables'!$B$25)*'Tax Tables'!$B$26))*1-MIN('Tax Tables'!$B$22*(MAX(W360,0)-IF(Calculator!$B$10="Yes",MIN(MAX(W360,0),'Tax Tables'!$B$27)*'Tax Tables'!$B$28+MIN(MAX(MAX(W360,0)-'Tax Tables'!$B$27,0),'Tax Tables'!$B$29)*'Tax Tables'!$B$30,MIN(MAX(W360,0),'Tax Tables'!$B$23)*'Tax Tables'!$B$24+MIN(MAX(MAX(W360,0)-'Tax Tables'!$B$23,0),'Tax Tables'!$B$25)*'Tax Tables'!$B$26))*Calculator!$B$11,Calculator!$B$12)</f>
        <v>18282.65</v>
      </c>
      <c r="Y360" s="11" t="n">
        <f aca="false">MAX(W360,0)-X360</f>
        <v>191762.35</v>
      </c>
      <c r="Z360" s="11" t="n">
        <f aca="false">MIN(IF(P360&gt;0,Calculator!$B$13,0)+T360+Calculator!$B$14,'Tax Tables'!$B$36)</f>
        <v>20200</v>
      </c>
      <c r="AA360" s="11" t="n">
        <f aca="false">MAX(P360-Z360,0)</f>
        <v>153300</v>
      </c>
      <c r="AB360" s="11" t="n">
        <f aca="false">SUMPRODUCT((AA360&gt;'Tax Tables'!$A$5:$A$17)*(AA360-'Tax Tables'!$A$5:$A$17)*'Tax Tables'!$C$5:$C$17)</f>
        <v>12945</v>
      </c>
      <c r="AC360" s="11" t="n">
        <f aca="false">IF(W360&lt;0,-1E+099,P360-T360-AB360+Y360+(T360+U360)*Calculator!$B$9)</f>
        <v>368637.35</v>
      </c>
    </row>
    <row r="361" customFormat="false" ht="15" hidden="false" customHeight="false" outlineLevel="0" collapsed="false">
      <c r="A361" s="11" t="n">
        <f aca="false">348*$B$3</f>
        <v>174000</v>
      </c>
      <c r="B361" s="11" t="n">
        <f aca="false">0</f>
        <v>0</v>
      </c>
      <c r="C361" s="11" t="n">
        <f aca="false">A361-B361</f>
        <v>174000</v>
      </c>
      <c r="D361" s="11" t="n">
        <f aca="false">IF(Calculator!$B$6="Yes",MIN(B361,'Tax Tables'!$B$31*'Tax Tables'!$B$32),0)</f>
        <v>0</v>
      </c>
      <c r="E361" s="11" t="n">
        <f aca="false">D361*Calculator!$B$7</f>
        <v>0</v>
      </c>
      <c r="F361" s="11" t="n">
        <f aca="false">D361*Calculator!$B$8</f>
        <v>0</v>
      </c>
      <c r="G361" s="11" t="n">
        <f aca="false">IF(B361&gt;0,'Tax Tables'!$B$32*MIN(MAX(B361/'Tax Tables'!$B$32*'Tax Tables'!$B$33,'Tax Tables'!$B$34),'Tax Tables'!$B$35),0)</f>
        <v>0</v>
      </c>
      <c r="H361" s="11" t="n">
        <f aca="false">Calculator!$B$5-A361-F361-G361</f>
        <v>226000</v>
      </c>
      <c r="I361" s="11" t="n">
        <f aca="false">'Tax Tables'!$B$22*(MAX(H361,0)-IF(Calculator!$B$10="Yes",MIN(MAX(H361,0),'Tax Tables'!$B$27)*'Tax Tables'!$B$28+MIN(MAX(MAX(H361,0)-'Tax Tables'!$B$27,0),'Tax Tables'!$B$29)*'Tax Tables'!$B$30,MIN(MAX(H361,0),'Tax Tables'!$B$23)*'Tax Tables'!$B$24+MIN(MAX(MAX(H361,0)-'Tax Tables'!$B$23,0),'Tax Tables'!$B$25)*'Tax Tables'!$B$26))*1-MIN('Tax Tables'!$B$22*(MAX(H361,0)-IF(Calculator!$B$10="Yes",MIN(MAX(H361,0),'Tax Tables'!$B$27)*'Tax Tables'!$B$28+MIN(MAX(MAX(H361,0)-'Tax Tables'!$B$27,0),'Tax Tables'!$B$29)*'Tax Tables'!$B$30,MIN(MAX(H361,0),'Tax Tables'!$B$23)*'Tax Tables'!$B$24+MIN(MAX(MAX(H361,0)-'Tax Tables'!$B$23,0),'Tax Tables'!$B$25)*'Tax Tables'!$B$26))*Calculator!$B$11,Calculator!$B$12)</f>
        <v>20995</v>
      </c>
      <c r="J361" s="11" t="n">
        <f aca="false">MAX(H361,0)-I361</f>
        <v>205005</v>
      </c>
      <c r="K361" s="11" t="n">
        <f aca="false">MIN(IF(A361&gt;0,Calculator!$B$13,0)+E361+Calculator!$B$14,'Tax Tables'!$B$36)</f>
        <v>1000</v>
      </c>
      <c r="L361" s="11" t="n">
        <f aca="false">MAX(A361-K361,0)</f>
        <v>173000</v>
      </c>
      <c r="M361" s="11" t="n">
        <f aca="false">SUMPRODUCT((L361&gt;'Tax Tables'!$A$5:$A$17)*(L361-'Tax Tables'!$A$5:$A$17)*'Tax Tables'!$C$5:$C$17)</f>
        <v>16290</v>
      </c>
      <c r="N361" s="11" t="n">
        <f aca="false">IF(H361&lt;0,-1E+099,A361-E361-M361+J361+(E361+F361)*Calculator!$B$9)</f>
        <v>362715</v>
      </c>
      <c r="O361" s="2"/>
      <c r="P361" s="11" t="n">
        <f aca="false">348*$B$3</f>
        <v>174000</v>
      </c>
      <c r="Q361" s="11" t="n">
        <f aca="false">MIN(P361,'Tax Tables'!$B$31*'Tax Tables'!$B$32)</f>
        <v>96000</v>
      </c>
      <c r="R361" s="11" t="n">
        <f aca="false">P361-Q361</f>
        <v>78000</v>
      </c>
      <c r="S361" s="11" t="n">
        <f aca="false">IF(Calculator!$B$6="Yes",MIN(Q361,'Tax Tables'!$B$31*'Tax Tables'!$B$32),0)</f>
        <v>96000</v>
      </c>
      <c r="T361" s="11" t="n">
        <f aca="false">S361*Calculator!$B$7</f>
        <v>19200</v>
      </c>
      <c r="U361" s="11" t="n">
        <f aca="false">S361*Calculator!$B$8</f>
        <v>16320</v>
      </c>
      <c r="V361" s="11" t="n">
        <f aca="false">IF(Q361&gt;0,'Tax Tables'!$B$32*MIN(MAX(Q361/'Tax Tables'!$B$32*'Tax Tables'!$B$33,'Tax Tables'!$B$34),'Tax Tables'!$B$35),0)</f>
        <v>135</v>
      </c>
      <c r="W361" s="11" t="n">
        <f aca="false">Calculator!$B$5-P361-U361-V361</f>
        <v>209545</v>
      </c>
      <c r="X361" s="11" t="n">
        <f aca="false">'Tax Tables'!$B$22*(MAX(W361,0)-IF(Calculator!$B$10="Yes",MIN(MAX(W361,0),'Tax Tables'!$B$27)*'Tax Tables'!$B$28+MIN(MAX(MAX(W361,0)-'Tax Tables'!$B$27,0),'Tax Tables'!$B$29)*'Tax Tables'!$B$30,MIN(MAX(W361,0),'Tax Tables'!$B$23)*'Tax Tables'!$B$24+MIN(MAX(MAX(W361,0)-'Tax Tables'!$B$23,0),'Tax Tables'!$B$25)*'Tax Tables'!$B$26))*1-MIN('Tax Tables'!$B$22*(MAX(W361,0)-IF(Calculator!$B$10="Yes",MIN(MAX(W361,0),'Tax Tables'!$B$27)*'Tax Tables'!$B$28+MIN(MAX(MAX(W361,0)-'Tax Tables'!$B$27,0),'Tax Tables'!$B$29)*'Tax Tables'!$B$30,MIN(MAX(W361,0),'Tax Tables'!$B$23)*'Tax Tables'!$B$24+MIN(MAX(MAX(W361,0)-'Tax Tables'!$B$23,0),'Tax Tables'!$B$25)*'Tax Tables'!$B$26))*Calculator!$B$11,Calculator!$B$12)</f>
        <v>18197.65</v>
      </c>
      <c r="Y361" s="11" t="n">
        <f aca="false">MAX(W361,0)-X361</f>
        <v>191347.35</v>
      </c>
      <c r="Z361" s="11" t="n">
        <f aca="false">MIN(IF(P361&gt;0,Calculator!$B$13,0)+T361+Calculator!$B$14,'Tax Tables'!$B$36)</f>
        <v>20200</v>
      </c>
      <c r="AA361" s="11" t="n">
        <f aca="false">MAX(P361-Z361,0)</f>
        <v>153800</v>
      </c>
      <c r="AB361" s="11" t="n">
        <f aca="false">SUMPRODUCT((AA361&gt;'Tax Tables'!$A$5:$A$17)*(AA361-'Tax Tables'!$A$5:$A$17)*'Tax Tables'!$C$5:$C$17)</f>
        <v>13020</v>
      </c>
      <c r="AC361" s="11" t="n">
        <f aca="false">IF(W361&lt;0,-1E+099,P361-T361-AB361+Y361+(T361+U361)*Calculator!$B$9)</f>
        <v>368647.35</v>
      </c>
    </row>
    <row r="362" customFormat="false" ht="15" hidden="false" customHeight="false" outlineLevel="0" collapsed="false">
      <c r="A362" s="11" t="n">
        <f aca="false">349*$B$3</f>
        <v>174500</v>
      </c>
      <c r="B362" s="11" t="n">
        <f aca="false">0</f>
        <v>0</v>
      </c>
      <c r="C362" s="11" t="n">
        <f aca="false">A362-B362</f>
        <v>174500</v>
      </c>
      <c r="D362" s="11" t="n">
        <f aca="false">IF(Calculator!$B$6="Yes",MIN(B362,'Tax Tables'!$B$31*'Tax Tables'!$B$32),0)</f>
        <v>0</v>
      </c>
      <c r="E362" s="11" t="n">
        <f aca="false">D362*Calculator!$B$7</f>
        <v>0</v>
      </c>
      <c r="F362" s="11" t="n">
        <f aca="false">D362*Calculator!$B$8</f>
        <v>0</v>
      </c>
      <c r="G362" s="11" t="n">
        <f aca="false">IF(B362&gt;0,'Tax Tables'!$B$32*MIN(MAX(B362/'Tax Tables'!$B$32*'Tax Tables'!$B$33,'Tax Tables'!$B$34),'Tax Tables'!$B$35),0)</f>
        <v>0</v>
      </c>
      <c r="H362" s="11" t="n">
        <f aca="false">Calculator!$B$5-A362-F362-G362</f>
        <v>225500</v>
      </c>
      <c r="I362" s="11" t="n">
        <f aca="false">'Tax Tables'!$B$22*(MAX(H362,0)-IF(Calculator!$B$10="Yes",MIN(MAX(H362,0),'Tax Tables'!$B$27)*'Tax Tables'!$B$28+MIN(MAX(MAX(H362,0)-'Tax Tables'!$B$27,0),'Tax Tables'!$B$29)*'Tax Tables'!$B$30,MIN(MAX(H362,0),'Tax Tables'!$B$23)*'Tax Tables'!$B$24+MIN(MAX(MAX(H362,0)-'Tax Tables'!$B$23,0),'Tax Tables'!$B$25)*'Tax Tables'!$B$26))*1-MIN('Tax Tables'!$B$22*(MAX(H362,0)-IF(Calculator!$B$10="Yes",MIN(MAX(H362,0),'Tax Tables'!$B$27)*'Tax Tables'!$B$28+MIN(MAX(MAX(H362,0)-'Tax Tables'!$B$27,0),'Tax Tables'!$B$29)*'Tax Tables'!$B$30,MIN(MAX(H362,0),'Tax Tables'!$B$23)*'Tax Tables'!$B$24+MIN(MAX(MAX(H362,0)-'Tax Tables'!$B$23,0),'Tax Tables'!$B$25)*'Tax Tables'!$B$26))*Calculator!$B$11,Calculator!$B$12)</f>
        <v>20910</v>
      </c>
      <c r="J362" s="11" t="n">
        <f aca="false">MAX(H362,0)-I362</f>
        <v>204590</v>
      </c>
      <c r="K362" s="11" t="n">
        <f aca="false">MIN(IF(A362&gt;0,Calculator!$B$13,0)+E362+Calculator!$B$14,'Tax Tables'!$B$36)</f>
        <v>1000</v>
      </c>
      <c r="L362" s="11" t="n">
        <f aca="false">MAX(A362-K362,0)</f>
        <v>173500</v>
      </c>
      <c r="M362" s="11" t="n">
        <f aca="false">SUMPRODUCT((L362&gt;'Tax Tables'!$A$5:$A$17)*(L362-'Tax Tables'!$A$5:$A$17)*'Tax Tables'!$C$5:$C$17)</f>
        <v>16380</v>
      </c>
      <c r="N362" s="11" t="n">
        <f aca="false">IF(H362&lt;0,-1E+099,A362-E362-M362+J362+(E362+F362)*Calculator!$B$9)</f>
        <v>362710</v>
      </c>
      <c r="O362" s="2"/>
      <c r="P362" s="11" t="n">
        <f aca="false">349*$B$3</f>
        <v>174500</v>
      </c>
      <c r="Q362" s="11" t="n">
        <f aca="false">MIN(P362,'Tax Tables'!$B$31*'Tax Tables'!$B$32)</f>
        <v>96000</v>
      </c>
      <c r="R362" s="11" t="n">
        <f aca="false">P362-Q362</f>
        <v>78500</v>
      </c>
      <c r="S362" s="11" t="n">
        <f aca="false">IF(Calculator!$B$6="Yes",MIN(Q362,'Tax Tables'!$B$31*'Tax Tables'!$B$32),0)</f>
        <v>96000</v>
      </c>
      <c r="T362" s="11" t="n">
        <f aca="false">S362*Calculator!$B$7</f>
        <v>19200</v>
      </c>
      <c r="U362" s="11" t="n">
        <f aca="false">S362*Calculator!$B$8</f>
        <v>16320</v>
      </c>
      <c r="V362" s="11" t="n">
        <f aca="false">IF(Q362&gt;0,'Tax Tables'!$B$32*MIN(MAX(Q362/'Tax Tables'!$B$32*'Tax Tables'!$B$33,'Tax Tables'!$B$34),'Tax Tables'!$B$35),0)</f>
        <v>135</v>
      </c>
      <c r="W362" s="11" t="n">
        <f aca="false">Calculator!$B$5-P362-U362-V362</f>
        <v>209045</v>
      </c>
      <c r="X362" s="11" t="n">
        <f aca="false">'Tax Tables'!$B$22*(MAX(W362,0)-IF(Calculator!$B$10="Yes",MIN(MAX(W362,0),'Tax Tables'!$B$27)*'Tax Tables'!$B$28+MIN(MAX(MAX(W362,0)-'Tax Tables'!$B$27,0),'Tax Tables'!$B$29)*'Tax Tables'!$B$30,MIN(MAX(W362,0),'Tax Tables'!$B$23)*'Tax Tables'!$B$24+MIN(MAX(MAX(W362,0)-'Tax Tables'!$B$23,0),'Tax Tables'!$B$25)*'Tax Tables'!$B$26))*1-MIN('Tax Tables'!$B$22*(MAX(W362,0)-IF(Calculator!$B$10="Yes",MIN(MAX(W362,0),'Tax Tables'!$B$27)*'Tax Tables'!$B$28+MIN(MAX(MAX(W362,0)-'Tax Tables'!$B$27,0),'Tax Tables'!$B$29)*'Tax Tables'!$B$30,MIN(MAX(W362,0),'Tax Tables'!$B$23)*'Tax Tables'!$B$24+MIN(MAX(MAX(W362,0)-'Tax Tables'!$B$23,0),'Tax Tables'!$B$25)*'Tax Tables'!$B$26))*Calculator!$B$11,Calculator!$B$12)</f>
        <v>18112.65</v>
      </c>
      <c r="Y362" s="11" t="n">
        <f aca="false">MAX(W362,0)-X362</f>
        <v>190932.35</v>
      </c>
      <c r="Z362" s="11" t="n">
        <f aca="false">MIN(IF(P362&gt;0,Calculator!$B$13,0)+T362+Calculator!$B$14,'Tax Tables'!$B$36)</f>
        <v>20200</v>
      </c>
      <c r="AA362" s="11" t="n">
        <f aca="false">MAX(P362-Z362,0)</f>
        <v>154300</v>
      </c>
      <c r="AB362" s="11" t="n">
        <f aca="false">SUMPRODUCT((AA362&gt;'Tax Tables'!$A$5:$A$17)*(AA362-'Tax Tables'!$A$5:$A$17)*'Tax Tables'!$C$5:$C$17)</f>
        <v>13095</v>
      </c>
      <c r="AC362" s="11" t="n">
        <f aca="false">IF(W362&lt;0,-1E+099,P362-T362-AB362+Y362+(T362+U362)*Calculator!$B$9)</f>
        <v>368657.35</v>
      </c>
    </row>
    <row r="363" customFormat="false" ht="15" hidden="false" customHeight="false" outlineLevel="0" collapsed="false">
      <c r="A363" s="11" t="n">
        <f aca="false">350*$B$3</f>
        <v>175000</v>
      </c>
      <c r="B363" s="11" t="n">
        <f aca="false">0</f>
        <v>0</v>
      </c>
      <c r="C363" s="11" t="n">
        <f aca="false">A363-B363</f>
        <v>175000</v>
      </c>
      <c r="D363" s="11" t="n">
        <f aca="false">IF(Calculator!$B$6="Yes",MIN(B363,'Tax Tables'!$B$31*'Tax Tables'!$B$32),0)</f>
        <v>0</v>
      </c>
      <c r="E363" s="11" t="n">
        <f aca="false">D363*Calculator!$B$7</f>
        <v>0</v>
      </c>
      <c r="F363" s="11" t="n">
        <f aca="false">D363*Calculator!$B$8</f>
        <v>0</v>
      </c>
      <c r="G363" s="11" t="n">
        <f aca="false">IF(B363&gt;0,'Tax Tables'!$B$32*MIN(MAX(B363/'Tax Tables'!$B$32*'Tax Tables'!$B$33,'Tax Tables'!$B$34),'Tax Tables'!$B$35),0)</f>
        <v>0</v>
      </c>
      <c r="H363" s="11" t="n">
        <f aca="false">Calculator!$B$5-A363-F363-G363</f>
        <v>225000</v>
      </c>
      <c r="I363" s="11" t="n">
        <f aca="false">'Tax Tables'!$B$22*(MAX(H363,0)-IF(Calculator!$B$10="Yes",MIN(MAX(H363,0),'Tax Tables'!$B$27)*'Tax Tables'!$B$28+MIN(MAX(MAX(H363,0)-'Tax Tables'!$B$27,0),'Tax Tables'!$B$29)*'Tax Tables'!$B$30,MIN(MAX(H363,0),'Tax Tables'!$B$23)*'Tax Tables'!$B$24+MIN(MAX(MAX(H363,0)-'Tax Tables'!$B$23,0),'Tax Tables'!$B$25)*'Tax Tables'!$B$26))*1-MIN('Tax Tables'!$B$22*(MAX(H363,0)-IF(Calculator!$B$10="Yes",MIN(MAX(H363,0),'Tax Tables'!$B$27)*'Tax Tables'!$B$28+MIN(MAX(MAX(H363,0)-'Tax Tables'!$B$27,0),'Tax Tables'!$B$29)*'Tax Tables'!$B$30,MIN(MAX(H363,0),'Tax Tables'!$B$23)*'Tax Tables'!$B$24+MIN(MAX(MAX(H363,0)-'Tax Tables'!$B$23,0),'Tax Tables'!$B$25)*'Tax Tables'!$B$26))*Calculator!$B$11,Calculator!$B$12)</f>
        <v>20825</v>
      </c>
      <c r="J363" s="11" t="n">
        <f aca="false">MAX(H363,0)-I363</f>
        <v>204175</v>
      </c>
      <c r="K363" s="11" t="n">
        <f aca="false">MIN(IF(A363&gt;0,Calculator!$B$13,0)+E363+Calculator!$B$14,'Tax Tables'!$B$36)</f>
        <v>1000</v>
      </c>
      <c r="L363" s="11" t="n">
        <f aca="false">MAX(A363-K363,0)</f>
        <v>174000</v>
      </c>
      <c r="M363" s="11" t="n">
        <f aca="false">SUMPRODUCT((L363&gt;'Tax Tables'!$A$5:$A$17)*(L363-'Tax Tables'!$A$5:$A$17)*'Tax Tables'!$C$5:$C$17)</f>
        <v>16470</v>
      </c>
      <c r="N363" s="11" t="n">
        <f aca="false">IF(H363&lt;0,-1E+099,A363-E363-M363+J363+(E363+F363)*Calculator!$B$9)</f>
        <v>362705</v>
      </c>
      <c r="O363" s="2"/>
      <c r="P363" s="11" t="n">
        <f aca="false">350*$B$3</f>
        <v>175000</v>
      </c>
      <c r="Q363" s="11" t="n">
        <f aca="false">MIN(P363,'Tax Tables'!$B$31*'Tax Tables'!$B$32)</f>
        <v>96000</v>
      </c>
      <c r="R363" s="11" t="n">
        <f aca="false">P363-Q363</f>
        <v>79000</v>
      </c>
      <c r="S363" s="11" t="n">
        <f aca="false">IF(Calculator!$B$6="Yes",MIN(Q363,'Tax Tables'!$B$31*'Tax Tables'!$B$32),0)</f>
        <v>96000</v>
      </c>
      <c r="T363" s="11" t="n">
        <f aca="false">S363*Calculator!$B$7</f>
        <v>19200</v>
      </c>
      <c r="U363" s="11" t="n">
        <f aca="false">S363*Calculator!$B$8</f>
        <v>16320</v>
      </c>
      <c r="V363" s="11" t="n">
        <f aca="false">IF(Q363&gt;0,'Tax Tables'!$B$32*MIN(MAX(Q363/'Tax Tables'!$B$32*'Tax Tables'!$B$33,'Tax Tables'!$B$34),'Tax Tables'!$B$35),0)</f>
        <v>135</v>
      </c>
      <c r="W363" s="11" t="n">
        <f aca="false">Calculator!$B$5-P363-U363-V363</f>
        <v>208545</v>
      </c>
      <c r="X363" s="11" t="n">
        <f aca="false">'Tax Tables'!$B$22*(MAX(W363,0)-IF(Calculator!$B$10="Yes",MIN(MAX(W363,0),'Tax Tables'!$B$27)*'Tax Tables'!$B$28+MIN(MAX(MAX(W363,0)-'Tax Tables'!$B$27,0),'Tax Tables'!$B$29)*'Tax Tables'!$B$30,MIN(MAX(W363,0),'Tax Tables'!$B$23)*'Tax Tables'!$B$24+MIN(MAX(MAX(W363,0)-'Tax Tables'!$B$23,0),'Tax Tables'!$B$25)*'Tax Tables'!$B$26))*1-MIN('Tax Tables'!$B$22*(MAX(W363,0)-IF(Calculator!$B$10="Yes",MIN(MAX(W363,0),'Tax Tables'!$B$27)*'Tax Tables'!$B$28+MIN(MAX(MAX(W363,0)-'Tax Tables'!$B$27,0),'Tax Tables'!$B$29)*'Tax Tables'!$B$30,MIN(MAX(W363,0),'Tax Tables'!$B$23)*'Tax Tables'!$B$24+MIN(MAX(MAX(W363,0)-'Tax Tables'!$B$23,0),'Tax Tables'!$B$25)*'Tax Tables'!$B$26))*Calculator!$B$11,Calculator!$B$12)</f>
        <v>18027.65</v>
      </c>
      <c r="Y363" s="11" t="n">
        <f aca="false">MAX(W363,0)-X363</f>
        <v>190517.35</v>
      </c>
      <c r="Z363" s="11" t="n">
        <f aca="false">MIN(IF(P363&gt;0,Calculator!$B$13,0)+T363+Calculator!$B$14,'Tax Tables'!$B$36)</f>
        <v>20200</v>
      </c>
      <c r="AA363" s="11" t="n">
        <f aca="false">MAX(P363-Z363,0)</f>
        <v>154800</v>
      </c>
      <c r="AB363" s="11" t="n">
        <f aca="false">SUMPRODUCT((AA363&gt;'Tax Tables'!$A$5:$A$17)*(AA363-'Tax Tables'!$A$5:$A$17)*'Tax Tables'!$C$5:$C$17)</f>
        <v>13170</v>
      </c>
      <c r="AC363" s="11" t="n">
        <f aca="false">IF(W363&lt;0,-1E+099,P363-T363-AB363+Y363+(T363+U363)*Calculator!$B$9)</f>
        <v>368667.35</v>
      </c>
    </row>
    <row r="364" customFormat="false" ht="15" hidden="false" customHeight="false" outlineLevel="0" collapsed="false">
      <c r="A364" s="11" t="n">
        <f aca="false">351*$B$3</f>
        <v>175500</v>
      </c>
      <c r="B364" s="11" t="n">
        <f aca="false">0</f>
        <v>0</v>
      </c>
      <c r="C364" s="11" t="n">
        <f aca="false">A364-B364</f>
        <v>175500</v>
      </c>
      <c r="D364" s="11" t="n">
        <f aca="false">IF(Calculator!$B$6="Yes",MIN(B364,'Tax Tables'!$B$31*'Tax Tables'!$B$32),0)</f>
        <v>0</v>
      </c>
      <c r="E364" s="11" t="n">
        <f aca="false">D364*Calculator!$B$7</f>
        <v>0</v>
      </c>
      <c r="F364" s="11" t="n">
        <f aca="false">D364*Calculator!$B$8</f>
        <v>0</v>
      </c>
      <c r="G364" s="11" t="n">
        <f aca="false">IF(B364&gt;0,'Tax Tables'!$B$32*MIN(MAX(B364/'Tax Tables'!$B$32*'Tax Tables'!$B$33,'Tax Tables'!$B$34),'Tax Tables'!$B$35),0)</f>
        <v>0</v>
      </c>
      <c r="H364" s="11" t="n">
        <f aca="false">Calculator!$B$5-A364-F364-G364</f>
        <v>224500</v>
      </c>
      <c r="I364" s="11" t="n">
        <f aca="false">'Tax Tables'!$B$22*(MAX(H364,0)-IF(Calculator!$B$10="Yes",MIN(MAX(H364,0),'Tax Tables'!$B$27)*'Tax Tables'!$B$28+MIN(MAX(MAX(H364,0)-'Tax Tables'!$B$27,0),'Tax Tables'!$B$29)*'Tax Tables'!$B$30,MIN(MAX(H364,0),'Tax Tables'!$B$23)*'Tax Tables'!$B$24+MIN(MAX(MAX(H364,0)-'Tax Tables'!$B$23,0),'Tax Tables'!$B$25)*'Tax Tables'!$B$26))*1-MIN('Tax Tables'!$B$22*(MAX(H364,0)-IF(Calculator!$B$10="Yes",MIN(MAX(H364,0),'Tax Tables'!$B$27)*'Tax Tables'!$B$28+MIN(MAX(MAX(H364,0)-'Tax Tables'!$B$27,0),'Tax Tables'!$B$29)*'Tax Tables'!$B$30,MIN(MAX(H364,0),'Tax Tables'!$B$23)*'Tax Tables'!$B$24+MIN(MAX(MAX(H364,0)-'Tax Tables'!$B$23,0),'Tax Tables'!$B$25)*'Tax Tables'!$B$26))*Calculator!$B$11,Calculator!$B$12)</f>
        <v>20740</v>
      </c>
      <c r="J364" s="11" t="n">
        <f aca="false">MAX(H364,0)-I364</f>
        <v>203760</v>
      </c>
      <c r="K364" s="11" t="n">
        <f aca="false">MIN(IF(A364&gt;0,Calculator!$B$13,0)+E364+Calculator!$B$14,'Tax Tables'!$B$36)</f>
        <v>1000</v>
      </c>
      <c r="L364" s="11" t="n">
        <f aca="false">MAX(A364-K364,0)</f>
        <v>174500</v>
      </c>
      <c r="M364" s="11" t="n">
        <f aca="false">SUMPRODUCT((L364&gt;'Tax Tables'!$A$5:$A$17)*(L364-'Tax Tables'!$A$5:$A$17)*'Tax Tables'!$C$5:$C$17)</f>
        <v>16560</v>
      </c>
      <c r="N364" s="11" t="n">
        <f aca="false">IF(H364&lt;0,-1E+099,A364-E364-M364+J364+(E364+F364)*Calculator!$B$9)</f>
        <v>362700</v>
      </c>
      <c r="O364" s="2"/>
      <c r="P364" s="11" t="n">
        <f aca="false">351*$B$3</f>
        <v>175500</v>
      </c>
      <c r="Q364" s="11" t="n">
        <f aca="false">MIN(P364,'Tax Tables'!$B$31*'Tax Tables'!$B$32)</f>
        <v>96000</v>
      </c>
      <c r="R364" s="11" t="n">
        <f aca="false">P364-Q364</f>
        <v>79500</v>
      </c>
      <c r="S364" s="11" t="n">
        <f aca="false">IF(Calculator!$B$6="Yes",MIN(Q364,'Tax Tables'!$B$31*'Tax Tables'!$B$32),0)</f>
        <v>96000</v>
      </c>
      <c r="T364" s="11" t="n">
        <f aca="false">S364*Calculator!$B$7</f>
        <v>19200</v>
      </c>
      <c r="U364" s="11" t="n">
        <f aca="false">S364*Calculator!$B$8</f>
        <v>16320</v>
      </c>
      <c r="V364" s="11" t="n">
        <f aca="false">IF(Q364&gt;0,'Tax Tables'!$B$32*MIN(MAX(Q364/'Tax Tables'!$B$32*'Tax Tables'!$B$33,'Tax Tables'!$B$34),'Tax Tables'!$B$35),0)</f>
        <v>135</v>
      </c>
      <c r="W364" s="11" t="n">
        <f aca="false">Calculator!$B$5-P364-U364-V364</f>
        <v>208045</v>
      </c>
      <c r="X364" s="11" t="n">
        <f aca="false">'Tax Tables'!$B$22*(MAX(W364,0)-IF(Calculator!$B$10="Yes",MIN(MAX(W364,0),'Tax Tables'!$B$27)*'Tax Tables'!$B$28+MIN(MAX(MAX(W364,0)-'Tax Tables'!$B$27,0),'Tax Tables'!$B$29)*'Tax Tables'!$B$30,MIN(MAX(W364,0),'Tax Tables'!$B$23)*'Tax Tables'!$B$24+MIN(MAX(MAX(W364,0)-'Tax Tables'!$B$23,0),'Tax Tables'!$B$25)*'Tax Tables'!$B$26))*1-MIN('Tax Tables'!$B$22*(MAX(W364,0)-IF(Calculator!$B$10="Yes",MIN(MAX(W364,0),'Tax Tables'!$B$27)*'Tax Tables'!$B$28+MIN(MAX(MAX(W364,0)-'Tax Tables'!$B$27,0),'Tax Tables'!$B$29)*'Tax Tables'!$B$30,MIN(MAX(W364,0),'Tax Tables'!$B$23)*'Tax Tables'!$B$24+MIN(MAX(MAX(W364,0)-'Tax Tables'!$B$23,0),'Tax Tables'!$B$25)*'Tax Tables'!$B$26))*Calculator!$B$11,Calculator!$B$12)</f>
        <v>17942.65</v>
      </c>
      <c r="Y364" s="11" t="n">
        <f aca="false">MAX(W364,0)-X364</f>
        <v>190102.35</v>
      </c>
      <c r="Z364" s="11" t="n">
        <f aca="false">MIN(IF(P364&gt;0,Calculator!$B$13,0)+T364+Calculator!$B$14,'Tax Tables'!$B$36)</f>
        <v>20200</v>
      </c>
      <c r="AA364" s="11" t="n">
        <f aca="false">MAX(P364-Z364,0)</f>
        <v>155300</v>
      </c>
      <c r="AB364" s="11" t="n">
        <f aca="false">SUMPRODUCT((AA364&gt;'Tax Tables'!$A$5:$A$17)*(AA364-'Tax Tables'!$A$5:$A$17)*'Tax Tables'!$C$5:$C$17)</f>
        <v>13245</v>
      </c>
      <c r="AC364" s="11" t="n">
        <f aca="false">IF(W364&lt;0,-1E+099,P364-T364-AB364+Y364+(T364+U364)*Calculator!$B$9)</f>
        <v>368677.35</v>
      </c>
    </row>
    <row r="365" customFormat="false" ht="15" hidden="false" customHeight="false" outlineLevel="0" collapsed="false">
      <c r="A365" s="11" t="n">
        <f aca="false">352*$B$3</f>
        <v>176000</v>
      </c>
      <c r="B365" s="11" t="n">
        <f aca="false">0</f>
        <v>0</v>
      </c>
      <c r="C365" s="11" t="n">
        <f aca="false">A365-B365</f>
        <v>176000</v>
      </c>
      <c r="D365" s="11" t="n">
        <f aca="false">IF(Calculator!$B$6="Yes",MIN(B365,'Tax Tables'!$B$31*'Tax Tables'!$B$32),0)</f>
        <v>0</v>
      </c>
      <c r="E365" s="11" t="n">
        <f aca="false">D365*Calculator!$B$7</f>
        <v>0</v>
      </c>
      <c r="F365" s="11" t="n">
        <f aca="false">D365*Calculator!$B$8</f>
        <v>0</v>
      </c>
      <c r="G365" s="11" t="n">
        <f aca="false">IF(B365&gt;0,'Tax Tables'!$B$32*MIN(MAX(B365/'Tax Tables'!$B$32*'Tax Tables'!$B$33,'Tax Tables'!$B$34),'Tax Tables'!$B$35),0)</f>
        <v>0</v>
      </c>
      <c r="H365" s="11" t="n">
        <f aca="false">Calculator!$B$5-A365-F365-G365</f>
        <v>224000</v>
      </c>
      <c r="I365" s="11" t="n">
        <f aca="false">'Tax Tables'!$B$22*(MAX(H365,0)-IF(Calculator!$B$10="Yes",MIN(MAX(H365,0),'Tax Tables'!$B$27)*'Tax Tables'!$B$28+MIN(MAX(MAX(H365,0)-'Tax Tables'!$B$27,0),'Tax Tables'!$B$29)*'Tax Tables'!$B$30,MIN(MAX(H365,0),'Tax Tables'!$B$23)*'Tax Tables'!$B$24+MIN(MAX(MAX(H365,0)-'Tax Tables'!$B$23,0),'Tax Tables'!$B$25)*'Tax Tables'!$B$26))*1-MIN('Tax Tables'!$B$22*(MAX(H365,0)-IF(Calculator!$B$10="Yes",MIN(MAX(H365,0),'Tax Tables'!$B$27)*'Tax Tables'!$B$28+MIN(MAX(MAX(H365,0)-'Tax Tables'!$B$27,0),'Tax Tables'!$B$29)*'Tax Tables'!$B$30,MIN(MAX(H365,0),'Tax Tables'!$B$23)*'Tax Tables'!$B$24+MIN(MAX(MAX(H365,0)-'Tax Tables'!$B$23,0),'Tax Tables'!$B$25)*'Tax Tables'!$B$26))*Calculator!$B$11,Calculator!$B$12)</f>
        <v>20655</v>
      </c>
      <c r="J365" s="11" t="n">
        <f aca="false">MAX(H365,0)-I365</f>
        <v>203345</v>
      </c>
      <c r="K365" s="11" t="n">
        <f aca="false">MIN(IF(A365&gt;0,Calculator!$B$13,0)+E365+Calculator!$B$14,'Tax Tables'!$B$36)</f>
        <v>1000</v>
      </c>
      <c r="L365" s="11" t="n">
        <f aca="false">MAX(A365-K365,0)</f>
        <v>175000</v>
      </c>
      <c r="M365" s="11" t="n">
        <f aca="false">SUMPRODUCT((L365&gt;'Tax Tables'!$A$5:$A$17)*(L365-'Tax Tables'!$A$5:$A$17)*'Tax Tables'!$C$5:$C$17)</f>
        <v>16650</v>
      </c>
      <c r="N365" s="11" t="n">
        <f aca="false">IF(H365&lt;0,-1E+099,A365-E365-M365+J365+(E365+F365)*Calculator!$B$9)</f>
        <v>362695</v>
      </c>
      <c r="O365" s="2"/>
      <c r="P365" s="11" t="n">
        <f aca="false">352*$B$3</f>
        <v>176000</v>
      </c>
      <c r="Q365" s="11" t="n">
        <f aca="false">MIN(P365,'Tax Tables'!$B$31*'Tax Tables'!$B$32)</f>
        <v>96000</v>
      </c>
      <c r="R365" s="11" t="n">
        <f aca="false">P365-Q365</f>
        <v>80000</v>
      </c>
      <c r="S365" s="11" t="n">
        <f aca="false">IF(Calculator!$B$6="Yes",MIN(Q365,'Tax Tables'!$B$31*'Tax Tables'!$B$32),0)</f>
        <v>96000</v>
      </c>
      <c r="T365" s="11" t="n">
        <f aca="false">S365*Calculator!$B$7</f>
        <v>19200</v>
      </c>
      <c r="U365" s="11" t="n">
        <f aca="false">S365*Calculator!$B$8</f>
        <v>16320</v>
      </c>
      <c r="V365" s="11" t="n">
        <f aca="false">IF(Q365&gt;0,'Tax Tables'!$B$32*MIN(MAX(Q365/'Tax Tables'!$B$32*'Tax Tables'!$B$33,'Tax Tables'!$B$34),'Tax Tables'!$B$35),0)</f>
        <v>135</v>
      </c>
      <c r="W365" s="11" t="n">
        <f aca="false">Calculator!$B$5-P365-U365-V365</f>
        <v>207545</v>
      </c>
      <c r="X365" s="11" t="n">
        <f aca="false">'Tax Tables'!$B$22*(MAX(W365,0)-IF(Calculator!$B$10="Yes",MIN(MAX(W365,0),'Tax Tables'!$B$27)*'Tax Tables'!$B$28+MIN(MAX(MAX(W365,0)-'Tax Tables'!$B$27,0),'Tax Tables'!$B$29)*'Tax Tables'!$B$30,MIN(MAX(W365,0),'Tax Tables'!$B$23)*'Tax Tables'!$B$24+MIN(MAX(MAX(W365,0)-'Tax Tables'!$B$23,0),'Tax Tables'!$B$25)*'Tax Tables'!$B$26))*1-MIN('Tax Tables'!$B$22*(MAX(W365,0)-IF(Calculator!$B$10="Yes",MIN(MAX(W365,0),'Tax Tables'!$B$27)*'Tax Tables'!$B$28+MIN(MAX(MAX(W365,0)-'Tax Tables'!$B$27,0),'Tax Tables'!$B$29)*'Tax Tables'!$B$30,MIN(MAX(W365,0),'Tax Tables'!$B$23)*'Tax Tables'!$B$24+MIN(MAX(MAX(W365,0)-'Tax Tables'!$B$23,0),'Tax Tables'!$B$25)*'Tax Tables'!$B$26))*Calculator!$B$11,Calculator!$B$12)</f>
        <v>17857.65</v>
      </c>
      <c r="Y365" s="11" t="n">
        <f aca="false">MAX(W365,0)-X365</f>
        <v>189687.35</v>
      </c>
      <c r="Z365" s="11" t="n">
        <f aca="false">MIN(IF(P365&gt;0,Calculator!$B$13,0)+T365+Calculator!$B$14,'Tax Tables'!$B$36)</f>
        <v>20200</v>
      </c>
      <c r="AA365" s="11" t="n">
        <f aca="false">MAX(P365-Z365,0)</f>
        <v>155800</v>
      </c>
      <c r="AB365" s="11" t="n">
        <f aca="false">SUMPRODUCT((AA365&gt;'Tax Tables'!$A$5:$A$17)*(AA365-'Tax Tables'!$A$5:$A$17)*'Tax Tables'!$C$5:$C$17)</f>
        <v>13320</v>
      </c>
      <c r="AC365" s="11" t="n">
        <f aca="false">IF(W365&lt;0,-1E+099,P365-T365-AB365+Y365+(T365+U365)*Calculator!$B$9)</f>
        <v>368687.35</v>
      </c>
    </row>
    <row r="366" customFormat="false" ht="15" hidden="false" customHeight="false" outlineLevel="0" collapsed="false">
      <c r="A366" s="11" t="n">
        <f aca="false">353*$B$3</f>
        <v>176500</v>
      </c>
      <c r="B366" s="11" t="n">
        <f aca="false">0</f>
        <v>0</v>
      </c>
      <c r="C366" s="11" t="n">
        <f aca="false">A366-B366</f>
        <v>176500</v>
      </c>
      <c r="D366" s="11" t="n">
        <f aca="false">IF(Calculator!$B$6="Yes",MIN(B366,'Tax Tables'!$B$31*'Tax Tables'!$B$32),0)</f>
        <v>0</v>
      </c>
      <c r="E366" s="11" t="n">
        <f aca="false">D366*Calculator!$B$7</f>
        <v>0</v>
      </c>
      <c r="F366" s="11" t="n">
        <f aca="false">D366*Calculator!$B$8</f>
        <v>0</v>
      </c>
      <c r="G366" s="11" t="n">
        <f aca="false">IF(B366&gt;0,'Tax Tables'!$B$32*MIN(MAX(B366/'Tax Tables'!$B$32*'Tax Tables'!$B$33,'Tax Tables'!$B$34),'Tax Tables'!$B$35),0)</f>
        <v>0</v>
      </c>
      <c r="H366" s="11" t="n">
        <f aca="false">Calculator!$B$5-A366-F366-G366</f>
        <v>223500</v>
      </c>
      <c r="I366" s="11" t="n">
        <f aca="false">'Tax Tables'!$B$22*(MAX(H366,0)-IF(Calculator!$B$10="Yes",MIN(MAX(H366,0),'Tax Tables'!$B$27)*'Tax Tables'!$B$28+MIN(MAX(MAX(H366,0)-'Tax Tables'!$B$27,0),'Tax Tables'!$B$29)*'Tax Tables'!$B$30,MIN(MAX(H366,0),'Tax Tables'!$B$23)*'Tax Tables'!$B$24+MIN(MAX(MAX(H366,0)-'Tax Tables'!$B$23,0),'Tax Tables'!$B$25)*'Tax Tables'!$B$26))*1-MIN('Tax Tables'!$B$22*(MAX(H366,0)-IF(Calculator!$B$10="Yes",MIN(MAX(H366,0),'Tax Tables'!$B$27)*'Tax Tables'!$B$28+MIN(MAX(MAX(H366,0)-'Tax Tables'!$B$27,0),'Tax Tables'!$B$29)*'Tax Tables'!$B$30,MIN(MAX(H366,0),'Tax Tables'!$B$23)*'Tax Tables'!$B$24+MIN(MAX(MAX(H366,0)-'Tax Tables'!$B$23,0),'Tax Tables'!$B$25)*'Tax Tables'!$B$26))*Calculator!$B$11,Calculator!$B$12)</f>
        <v>20570</v>
      </c>
      <c r="J366" s="11" t="n">
        <f aca="false">MAX(H366,0)-I366</f>
        <v>202930</v>
      </c>
      <c r="K366" s="11" t="n">
        <f aca="false">MIN(IF(A366&gt;0,Calculator!$B$13,0)+E366+Calculator!$B$14,'Tax Tables'!$B$36)</f>
        <v>1000</v>
      </c>
      <c r="L366" s="11" t="n">
        <f aca="false">MAX(A366-K366,0)</f>
        <v>175500</v>
      </c>
      <c r="M366" s="11" t="n">
        <f aca="false">SUMPRODUCT((L366&gt;'Tax Tables'!$A$5:$A$17)*(L366-'Tax Tables'!$A$5:$A$17)*'Tax Tables'!$C$5:$C$17)</f>
        <v>16740</v>
      </c>
      <c r="N366" s="11" t="n">
        <f aca="false">IF(H366&lt;0,-1E+099,A366-E366-M366+J366+(E366+F366)*Calculator!$B$9)</f>
        <v>362690</v>
      </c>
      <c r="O366" s="2"/>
      <c r="P366" s="11" t="n">
        <f aca="false">353*$B$3</f>
        <v>176500</v>
      </c>
      <c r="Q366" s="11" t="n">
        <f aca="false">MIN(P366,'Tax Tables'!$B$31*'Tax Tables'!$B$32)</f>
        <v>96000</v>
      </c>
      <c r="R366" s="11" t="n">
        <f aca="false">P366-Q366</f>
        <v>80500</v>
      </c>
      <c r="S366" s="11" t="n">
        <f aca="false">IF(Calculator!$B$6="Yes",MIN(Q366,'Tax Tables'!$B$31*'Tax Tables'!$B$32),0)</f>
        <v>96000</v>
      </c>
      <c r="T366" s="11" t="n">
        <f aca="false">S366*Calculator!$B$7</f>
        <v>19200</v>
      </c>
      <c r="U366" s="11" t="n">
        <f aca="false">S366*Calculator!$B$8</f>
        <v>16320</v>
      </c>
      <c r="V366" s="11" t="n">
        <f aca="false">IF(Q366&gt;0,'Tax Tables'!$B$32*MIN(MAX(Q366/'Tax Tables'!$B$32*'Tax Tables'!$B$33,'Tax Tables'!$B$34),'Tax Tables'!$B$35),0)</f>
        <v>135</v>
      </c>
      <c r="W366" s="11" t="n">
        <f aca="false">Calculator!$B$5-P366-U366-V366</f>
        <v>207045</v>
      </c>
      <c r="X366" s="11" t="n">
        <f aca="false">'Tax Tables'!$B$22*(MAX(W366,0)-IF(Calculator!$B$10="Yes",MIN(MAX(W366,0),'Tax Tables'!$B$27)*'Tax Tables'!$B$28+MIN(MAX(MAX(W366,0)-'Tax Tables'!$B$27,0),'Tax Tables'!$B$29)*'Tax Tables'!$B$30,MIN(MAX(W366,0),'Tax Tables'!$B$23)*'Tax Tables'!$B$24+MIN(MAX(MAX(W366,0)-'Tax Tables'!$B$23,0),'Tax Tables'!$B$25)*'Tax Tables'!$B$26))*1-MIN('Tax Tables'!$B$22*(MAX(W366,0)-IF(Calculator!$B$10="Yes",MIN(MAX(W366,0),'Tax Tables'!$B$27)*'Tax Tables'!$B$28+MIN(MAX(MAX(W366,0)-'Tax Tables'!$B$27,0),'Tax Tables'!$B$29)*'Tax Tables'!$B$30,MIN(MAX(W366,0),'Tax Tables'!$B$23)*'Tax Tables'!$B$24+MIN(MAX(MAX(W366,0)-'Tax Tables'!$B$23,0),'Tax Tables'!$B$25)*'Tax Tables'!$B$26))*Calculator!$B$11,Calculator!$B$12)</f>
        <v>17772.65</v>
      </c>
      <c r="Y366" s="11" t="n">
        <f aca="false">MAX(W366,0)-X366</f>
        <v>189272.35</v>
      </c>
      <c r="Z366" s="11" t="n">
        <f aca="false">MIN(IF(P366&gt;0,Calculator!$B$13,0)+T366+Calculator!$B$14,'Tax Tables'!$B$36)</f>
        <v>20200</v>
      </c>
      <c r="AA366" s="11" t="n">
        <f aca="false">MAX(P366-Z366,0)</f>
        <v>156300</v>
      </c>
      <c r="AB366" s="11" t="n">
        <f aca="false">SUMPRODUCT((AA366&gt;'Tax Tables'!$A$5:$A$17)*(AA366-'Tax Tables'!$A$5:$A$17)*'Tax Tables'!$C$5:$C$17)</f>
        <v>13395</v>
      </c>
      <c r="AC366" s="11" t="n">
        <f aca="false">IF(W366&lt;0,-1E+099,P366-T366-AB366+Y366+(T366+U366)*Calculator!$B$9)</f>
        <v>368697.35</v>
      </c>
    </row>
    <row r="367" customFormat="false" ht="15" hidden="false" customHeight="false" outlineLevel="0" collapsed="false">
      <c r="A367" s="11" t="n">
        <f aca="false">354*$B$3</f>
        <v>177000</v>
      </c>
      <c r="B367" s="11" t="n">
        <f aca="false">0</f>
        <v>0</v>
      </c>
      <c r="C367" s="11" t="n">
        <f aca="false">A367-B367</f>
        <v>177000</v>
      </c>
      <c r="D367" s="11" t="n">
        <f aca="false">IF(Calculator!$B$6="Yes",MIN(B367,'Tax Tables'!$B$31*'Tax Tables'!$B$32),0)</f>
        <v>0</v>
      </c>
      <c r="E367" s="11" t="n">
        <f aca="false">D367*Calculator!$B$7</f>
        <v>0</v>
      </c>
      <c r="F367" s="11" t="n">
        <f aca="false">D367*Calculator!$B$8</f>
        <v>0</v>
      </c>
      <c r="G367" s="11" t="n">
        <f aca="false">IF(B367&gt;0,'Tax Tables'!$B$32*MIN(MAX(B367/'Tax Tables'!$B$32*'Tax Tables'!$B$33,'Tax Tables'!$B$34),'Tax Tables'!$B$35),0)</f>
        <v>0</v>
      </c>
      <c r="H367" s="11" t="n">
        <f aca="false">Calculator!$B$5-A367-F367-G367</f>
        <v>223000</v>
      </c>
      <c r="I367" s="11" t="n">
        <f aca="false">'Tax Tables'!$B$22*(MAX(H367,0)-IF(Calculator!$B$10="Yes",MIN(MAX(H367,0),'Tax Tables'!$B$27)*'Tax Tables'!$B$28+MIN(MAX(MAX(H367,0)-'Tax Tables'!$B$27,0),'Tax Tables'!$B$29)*'Tax Tables'!$B$30,MIN(MAX(H367,0),'Tax Tables'!$B$23)*'Tax Tables'!$B$24+MIN(MAX(MAX(H367,0)-'Tax Tables'!$B$23,0),'Tax Tables'!$B$25)*'Tax Tables'!$B$26))*1-MIN('Tax Tables'!$B$22*(MAX(H367,0)-IF(Calculator!$B$10="Yes",MIN(MAX(H367,0),'Tax Tables'!$B$27)*'Tax Tables'!$B$28+MIN(MAX(MAX(H367,0)-'Tax Tables'!$B$27,0),'Tax Tables'!$B$29)*'Tax Tables'!$B$30,MIN(MAX(H367,0),'Tax Tables'!$B$23)*'Tax Tables'!$B$24+MIN(MAX(MAX(H367,0)-'Tax Tables'!$B$23,0),'Tax Tables'!$B$25)*'Tax Tables'!$B$26))*Calculator!$B$11,Calculator!$B$12)</f>
        <v>20485</v>
      </c>
      <c r="J367" s="11" t="n">
        <f aca="false">MAX(H367,0)-I367</f>
        <v>202515</v>
      </c>
      <c r="K367" s="11" t="n">
        <f aca="false">MIN(IF(A367&gt;0,Calculator!$B$13,0)+E367+Calculator!$B$14,'Tax Tables'!$B$36)</f>
        <v>1000</v>
      </c>
      <c r="L367" s="11" t="n">
        <f aca="false">MAX(A367-K367,0)</f>
        <v>176000</v>
      </c>
      <c r="M367" s="11" t="n">
        <f aca="false">SUMPRODUCT((L367&gt;'Tax Tables'!$A$5:$A$17)*(L367-'Tax Tables'!$A$5:$A$17)*'Tax Tables'!$C$5:$C$17)</f>
        <v>16830</v>
      </c>
      <c r="N367" s="11" t="n">
        <f aca="false">IF(H367&lt;0,-1E+099,A367-E367-M367+J367+(E367+F367)*Calculator!$B$9)</f>
        <v>362685</v>
      </c>
      <c r="O367" s="2"/>
      <c r="P367" s="11" t="n">
        <f aca="false">354*$B$3</f>
        <v>177000</v>
      </c>
      <c r="Q367" s="11" t="n">
        <f aca="false">MIN(P367,'Tax Tables'!$B$31*'Tax Tables'!$B$32)</f>
        <v>96000</v>
      </c>
      <c r="R367" s="11" t="n">
        <f aca="false">P367-Q367</f>
        <v>81000</v>
      </c>
      <c r="S367" s="11" t="n">
        <f aca="false">IF(Calculator!$B$6="Yes",MIN(Q367,'Tax Tables'!$B$31*'Tax Tables'!$B$32),0)</f>
        <v>96000</v>
      </c>
      <c r="T367" s="11" t="n">
        <f aca="false">S367*Calculator!$B$7</f>
        <v>19200</v>
      </c>
      <c r="U367" s="11" t="n">
        <f aca="false">S367*Calculator!$B$8</f>
        <v>16320</v>
      </c>
      <c r="V367" s="11" t="n">
        <f aca="false">IF(Q367&gt;0,'Tax Tables'!$B$32*MIN(MAX(Q367/'Tax Tables'!$B$32*'Tax Tables'!$B$33,'Tax Tables'!$B$34),'Tax Tables'!$B$35),0)</f>
        <v>135</v>
      </c>
      <c r="W367" s="11" t="n">
        <f aca="false">Calculator!$B$5-P367-U367-V367</f>
        <v>206545</v>
      </c>
      <c r="X367" s="11" t="n">
        <f aca="false">'Tax Tables'!$B$22*(MAX(W367,0)-IF(Calculator!$B$10="Yes",MIN(MAX(W367,0),'Tax Tables'!$B$27)*'Tax Tables'!$B$28+MIN(MAX(MAX(W367,0)-'Tax Tables'!$B$27,0),'Tax Tables'!$B$29)*'Tax Tables'!$B$30,MIN(MAX(W367,0),'Tax Tables'!$B$23)*'Tax Tables'!$B$24+MIN(MAX(MAX(W367,0)-'Tax Tables'!$B$23,0),'Tax Tables'!$B$25)*'Tax Tables'!$B$26))*1-MIN('Tax Tables'!$B$22*(MAX(W367,0)-IF(Calculator!$B$10="Yes",MIN(MAX(W367,0),'Tax Tables'!$B$27)*'Tax Tables'!$B$28+MIN(MAX(MAX(W367,0)-'Tax Tables'!$B$27,0),'Tax Tables'!$B$29)*'Tax Tables'!$B$30,MIN(MAX(W367,0),'Tax Tables'!$B$23)*'Tax Tables'!$B$24+MIN(MAX(MAX(W367,0)-'Tax Tables'!$B$23,0),'Tax Tables'!$B$25)*'Tax Tables'!$B$26))*Calculator!$B$11,Calculator!$B$12)</f>
        <v>17687.65</v>
      </c>
      <c r="Y367" s="11" t="n">
        <f aca="false">MAX(W367,0)-X367</f>
        <v>188857.35</v>
      </c>
      <c r="Z367" s="11" t="n">
        <f aca="false">MIN(IF(P367&gt;0,Calculator!$B$13,0)+T367+Calculator!$B$14,'Tax Tables'!$B$36)</f>
        <v>20200</v>
      </c>
      <c r="AA367" s="11" t="n">
        <f aca="false">MAX(P367-Z367,0)</f>
        <v>156800</v>
      </c>
      <c r="AB367" s="11" t="n">
        <f aca="false">SUMPRODUCT((AA367&gt;'Tax Tables'!$A$5:$A$17)*(AA367-'Tax Tables'!$A$5:$A$17)*'Tax Tables'!$C$5:$C$17)</f>
        <v>13470</v>
      </c>
      <c r="AC367" s="11" t="n">
        <f aca="false">IF(W367&lt;0,-1E+099,P367-T367-AB367+Y367+(T367+U367)*Calculator!$B$9)</f>
        <v>368707.35</v>
      </c>
    </row>
    <row r="368" customFormat="false" ht="15" hidden="false" customHeight="false" outlineLevel="0" collapsed="false">
      <c r="A368" s="11" t="n">
        <f aca="false">355*$B$3</f>
        <v>177500</v>
      </c>
      <c r="B368" s="11" t="n">
        <f aca="false">0</f>
        <v>0</v>
      </c>
      <c r="C368" s="11" t="n">
        <f aca="false">A368-B368</f>
        <v>177500</v>
      </c>
      <c r="D368" s="11" t="n">
        <f aca="false">IF(Calculator!$B$6="Yes",MIN(B368,'Tax Tables'!$B$31*'Tax Tables'!$B$32),0)</f>
        <v>0</v>
      </c>
      <c r="E368" s="11" t="n">
        <f aca="false">D368*Calculator!$B$7</f>
        <v>0</v>
      </c>
      <c r="F368" s="11" t="n">
        <f aca="false">D368*Calculator!$B$8</f>
        <v>0</v>
      </c>
      <c r="G368" s="11" t="n">
        <f aca="false">IF(B368&gt;0,'Tax Tables'!$B$32*MIN(MAX(B368/'Tax Tables'!$B$32*'Tax Tables'!$B$33,'Tax Tables'!$B$34),'Tax Tables'!$B$35),0)</f>
        <v>0</v>
      </c>
      <c r="H368" s="11" t="n">
        <f aca="false">Calculator!$B$5-A368-F368-G368</f>
        <v>222500</v>
      </c>
      <c r="I368" s="11" t="n">
        <f aca="false">'Tax Tables'!$B$22*(MAX(H368,0)-IF(Calculator!$B$10="Yes",MIN(MAX(H368,0),'Tax Tables'!$B$27)*'Tax Tables'!$B$28+MIN(MAX(MAX(H368,0)-'Tax Tables'!$B$27,0),'Tax Tables'!$B$29)*'Tax Tables'!$B$30,MIN(MAX(H368,0),'Tax Tables'!$B$23)*'Tax Tables'!$B$24+MIN(MAX(MAX(H368,0)-'Tax Tables'!$B$23,0),'Tax Tables'!$B$25)*'Tax Tables'!$B$26))*1-MIN('Tax Tables'!$B$22*(MAX(H368,0)-IF(Calculator!$B$10="Yes",MIN(MAX(H368,0),'Tax Tables'!$B$27)*'Tax Tables'!$B$28+MIN(MAX(MAX(H368,0)-'Tax Tables'!$B$27,0),'Tax Tables'!$B$29)*'Tax Tables'!$B$30,MIN(MAX(H368,0),'Tax Tables'!$B$23)*'Tax Tables'!$B$24+MIN(MAX(MAX(H368,0)-'Tax Tables'!$B$23,0),'Tax Tables'!$B$25)*'Tax Tables'!$B$26))*Calculator!$B$11,Calculator!$B$12)</f>
        <v>20400</v>
      </c>
      <c r="J368" s="11" t="n">
        <f aca="false">MAX(H368,0)-I368</f>
        <v>202100</v>
      </c>
      <c r="K368" s="11" t="n">
        <f aca="false">MIN(IF(A368&gt;0,Calculator!$B$13,0)+E368+Calculator!$B$14,'Tax Tables'!$B$36)</f>
        <v>1000</v>
      </c>
      <c r="L368" s="11" t="n">
        <f aca="false">MAX(A368-K368,0)</f>
        <v>176500</v>
      </c>
      <c r="M368" s="11" t="n">
        <f aca="false">SUMPRODUCT((L368&gt;'Tax Tables'!$A$5:$A$17)*(L368-'Tax Tables'!$A$5:$A$17)*'Tax Tables'!$C$5:$C$17)</f>
        <v>16920</v>
      </c>
      <c r="N368" s="11" t="n">
        <f aca="false">IF(H368&lt;0,-1E+099,A368-E368-M368+J368+(E368+F368)*Calculator!$B$9)</f>
        <v>362680</v>
      </c>
      <c r="O368" s="2"/>
      <c r="P368" s="11" t="n">
        <f aca="false">355*$B$3</f>
        <v>177500</v>
      </c>
      <c r="Q368" s="11" t="n">
        <f aca="false">MIN(P368,'Tax Tables'!$B$31*'Tax Tables'!$B$32)</f>
        <v>96000</v>
      </c>
      <c r="R368" s="11" t="n">
        <f aca="false">P368-Q368</f>
        <v>81500</v>
      </c>
      <c r="S368" s="11" t="n">
        <f aca="false">IF(Calculator!$B$6="Yes",MIN(Q368,'Tax Tables'!$B$31*'Tax Tables'!$B$32),0)</f>
        <v>96000</v>
      </c>
      <c r="T368" s="11" t="n">
        <f aca="false">S368*Calculator!$B$7</f>
        <v>19200</v>
      </c>
      <c r="U368" s="11" t="n">
        <f aca="false">S368*Calculator!$B$8</f>
        <v>16320</v>
      </c>
      <c r="V368" s="11" t="n">
        <f aca="false">IF(Q368&gt;0,'Tax Tables'!$B$32*MIN(MAX(Q368/'Tax Tables'!$B$32*'Tax Tables'!$B$33,'Tax Tables'!$B$34),'Tax Tables'!$B$35),0)</f>
        <v>135</v>
      </c>
      <c r="W368" s="11" t="n">
        <f aca="false">Calculator!$B$5-P368-U368-V368</f>
        <v>206045</v>
      </c>
      <c r="X368" s="11" t="n">
        <f aca="false">'Tax Tables'!$B$22*(MAX(W368,0)-IF(Calculator!$B$10="Yes",MIN(MAX(W368,0),'Tax Tables'!$B$27)*'Tax Tables'!$B$28+MIN(MAX(MAX(W368,0)-'Tax Tables'!$B$27,0),'Tax Tables'!$B$29)*'Tax Tables'!$B$30,MIN(MAX(W368,0),'Tax Tables'!$B$23)*'Tax Tables'!$B$24+MIN(MAX(MAX(W368,0)-'Tax Tables'!$B$23,0),'Tax Tables'!$B$25)*'Tax Tables'!$B$26))*1-MIN('Tax Tables'!$B$22*(MAX(W368,0)-IF(Calculator!$B$10="Yes",MIN(MAX(W368,0),'Tax Tables'!$B$27)*'Tax Tables'!$B$28+MIN(MAX(MAX(W368,0)-'Tax Tables'!$B$27,0),'Tax Tables'!$B$29)*'Tax Tables'!$B$30,MIN(MAX(W368,0),'Tax Tables'!$B$23)*'Tax Tables'!$B$24+MIN(MAX(MAX(W368,0)-'Tax Tables'!$B$23,0),'Tax Tables'!$B$25)*'Tax Tables'!$B$26))*Calculator!$B$11,Calculator!$B$12)</f>
        <v>17602.65</v>
      </c>
      <c r="Y368" s="11" t="n">
        <f aca="false">MAX(W368,0)-X368</f>
        <v>188442.35</v>
      </c>
      <c r="Z368" s="11" t="n">
        <f aca="false">MIN(IF(P368&gt;0,Calculator!$B$13,0)+T368+Calculator!$B$14,'Tax Tables'!$B$36)</f>
        <v>20200</v>
      </c>
      <c r="AA368" s="11" t="n">
        <f aca="false">MAX(P368-Z368,0)</f>
        <v>157300</v>
      </c>
      <c r="AB368" s="11" t="n">
        <f aca="false">SUMPRODUCT((AA368&gt;'Tax Tables'!$A$5:$A$17)*(AA368-'Tax Tables'!$A$5:$A$17)*'Tax Tables'!$C$5:$C$17)</f>
        <v>13545</v>
      </c>
      <c r="AC368" s="11" t="n">
        <f aca="false">IF(W368&lt;0,-1E+099,P368-T368-AB368+Y368+(T368+U368)*Calculator!$B$9)</f>
        <v>368717.35</v>
      </c>
    </row>
    <row r="369" customFormat="false" ht="15" hidden="false" customHeight="false" outlineLevel="0" collapsed="false">
      <c r="A369" s="11" t="n">
        <f aca="false">356*$B$3</f>
        <v>178000</v>
      </c>
      <c r="B369" s="11" t="n">
        <f aca="false">0</f>
        <v>0</v>
      </c>
      <c r="C369" s="11" t="n">
        <f aca="false">A369-B369</f>
        <v>178000</v>
      </c>
      <c r="D369" s="11" t="n">
        <f aca="false">IF(Calculator!$B$6="Yes",MIN(B369,'Tax Tables'!$B$31*'Tax Tables'!$B$32),0)</f>
        <v>0</v>
      </c>
      <c r="E369" s="11" t="n">
        <f aca="false">D369*Calculator!$B$7</f>
        <v>0</v>
      </c>
      <c r="F369" s="11" t="n">
        <f aca="false">D369*Calculator!$B$8</f>
        <v>0</v>
      </c>
      <c r="G369" s="11" t="n">
        <f aca="false">IF(B369&gt;0,'Tax Tables'!$B$32*MIN(MAX(B369/'Tax Tables'!$B$32*'Tax Tables'!$B$33,'Tax Tables'!$B$34),'Tax Tables'!$B$35),0)</f>
        <v>0</v>
      </c>
      <c r="H369" s="11" t="n">
        <f aca="false">Calculator!$B$5-A369-F369-G369</f>
        <v>222000</v>
      </c>
      <c r="I369" s="11" t="n">
        <f aca="false">'Tax Tables'!$B$22*(MAX(H369,0)-IF(Calculator!$B$10="Yes",MIN(MAX(H369,0),'Tax Tables'!$B$27)*'Tax Tables'!$B$28+MIN(MAX(MAX(H369,0)-'Tax Tables'!$B$27,0),'Tax Tables'!$B$29)*'Tax Tables'!$B$30,MIN(MAX(H369,0),'Tax Tables'!$B$23)*'Tax Tables'!$B$24+MIN(MAX(MAX(H369,0)-'Tax Tables'!$B$23,0),'Tax Tables'!$B$25)*'Tax Tables'!$B$26))*1-MIN('Tax Tables'!$B$22*(MAX(H369,0)-IF(Calculator!$B$10="Yes",MIN(MAX(H369,0),'Tax Tables'!$B$27)*'Tax Tables'!$B$28+MIN(MAX(MAX(H369,0)-'Tax Tables'!$B$27,0),'Tax Tables'!$B$29)*'Tax Tables'!$B$30,MIN(MAX(H369,0),'Tax Tables'!$B$23)*'Tax Tables'!$B$24+MIN(MAX(MAX(H369,0)-'Tax Tables'!$B$23,0),'Tax Tables'!$B$25)*'Tax Tables'!$B$26))*Calculator!$B$11,Calculator!$B$12)</f>
        <v>20315</v>
      </c>
      <c r="J369" s="11" t="n">
        <f aca="false">MAX(H369,0)-I369</f>
        <v>201685</v>
      </c>
      <c r="K369" s="11" t="n">
        <f aca="false">MIN(IF(A369&gt;0,Calculator!$B$13,0)+E369+Calculator!$B$14,'Tax Tables'!$B$36)</f>
        <v>1000</v>
      </c>
      <c r="L369" s="11" t="n">
        <f aca="false">MAX(A369-K369,0)</f>
        <v>177000</v>
      </c>
      <c r="M369" s="11" t="n">
        <f aca="false">SUMPRODUCT((L369&gt;'Tax Tables'!$A$5:$A$17)*(L369-'Tax Tables'!$A$5:$A$17)*'Tax Tables'!$C$5:$C$17)</f>
        <v>17010</v>
      </c>
      <c r="N369" s="11" t="n">
        <f aca="false">IF(H369&lt;0,-1E+099,A369-E369-M369+J369+(E369+F369)*Calculator!$B$9)</f>
        <v>362675</v>
      </c>
      <c r="O369" s="2"/>
      <c r="P369" s="11" t="n">
        <f aca="false">356*$B$3</f>
        <v>178000</v>
      </c>
      <c r="Q369" s="11" t="n">
        <f aca="false">MIN(P369,'Tax Tables'!$B$31*'Tax Tables'!$B$32)</f>
        <v>96000</v>
      </c>
      <c r="R369" s="11" t="n">
        <f aca="false">P369-Q369</f>
        <v>82000</v>
      </c>
      <c r="S369" s="11" t="n">
        <f aca="false">IF(Calculator!$B$6="Yes",MIN(Q369,'Tax Tables'!$B$31*'Tax Tables'!$B$32),0)</f>
        <v>96000</v>
      </c>
      <c r="T369" s="11" t="n">
        <f aca="false">S369*Calculator!$B$7</f>
        <v>19200</v>
      </c>
      <c r="U369" s="11" t="n">
        <f aca="false">S369*Calculator!$B$8</f>
        <v>16320</v>
      </c>
      <c r="V369" s="11" t="n">
        <f aca="false">IF(Q369&gt;0,'Tax Tables'!$B$32*MIN(MAX(Q369/'Tax Tables'!$B$32*'Tax Tables'!$B$33,'Tax Tables'!$B$34),'Tax Tables'!$B$35),0)</f>
        <v>135</v>
      </c>
      <c r="W369" s="11" t="n">
        <f aca="false">Calculator!$B$5-P369-U369-V369</f>
        <v>205545</v>
      </c>
      <c r="X369" s="11" t="n">
        <f aca="false">'Tax Tables'!$B$22*(MAX(W369,0)-IF(Calculator!$B$10="Yes",MIN(MAX(W369,0),'Tax Tables'!$B$27)*'Tax Tables'!$B$28+MIN(MAX(MAX(W369,0)-'Tax Tables'!$B$27,0),'Tax Tables'!$B$29)*'Tax Tables'!$B$30,MIN(MAX(W369,0),'Tax Tables'!$B$23)*'Tax Tables'!$B$24+MIN(MAX(MAX(W369,0)-'Tax Tables'!$B$23,0),'Tax Tables'!$B$25)*'Tax Tables'!$B$26))*1-MIN('Tax Tables'!$B$22*(MAX(W369,0)-IF(Calculator!$B$10="Yes",MIN(MAX(W369,0),'Tax Tables'!$B$27)*'Tax Tables'!$B$28+MIN(MAX(MAX(W369,0)-'Tax Tables'!$B$27,0),'Tax Tables'!$B$29)*'Tax Tables'!$B$30,MIN(MAX(W369,0),'Tax Tables'!$B$23)*'Tax Tables'!$B$24+MIN(MAX(MAX(W369,0)-'Tax Tables'!$B$23,0),'Tax Tables'!$B$25)*'Tax Tables'!$B$26))*Calculator!$B$11,Calculator!$B$12)</f>
        <v>17517.65</v>
      </c>
      <c r="Y369" s="11" t="n">
        <f aca="false">MAX(W369,0)-X369</f>
        <v>188027.35</v>
      </c>
      <c r="Z369" s="11" t="n">
        <f aca="false">MIN(IF(P369&gt;0,Calculator!$B$13,0)+T369+Calculator!$B$14,'Tax Tables'!$B$36)</f>
        <v>20200</v>
      </c>
      <c r="AA369" s="11" t="n">
        <f aca="false">MAX(P369-Z369,0)</f>
        <v>157800</v>
      </c>
      <c r="AB369" s="11" t="n">
        <f aca="false">SUMPRODUCT((AA369&gt;'Tax Tables'!$A$5:$A$17)*(AA369-'Tax Tables'!$A$5:$A$17)*'Tax Tables'!$C$5:$C$17)</f>
        <v>13620</v>
      </c>
      <c r="AC369" s="11" t="n">
        <f aca="false">IF(W369&lt;0,-1E+099,P369-T369-AB369+Y369+(T369+U369)*Calculator!$B$9)</f>
        <v>368727.35</v>
      </c>
    </row>
    <row r="370" customFormat="false" ht="15" hidden="false" customHeight="false" outlineLevel="0" collapsed="false">
      <c r="A370" s="11" t="n">
        <f aca="false">357*$B$3</f>
        <v>178500</v>
      </c>
      <c r="B370" s="11" t="n">
        <f aca="false">0</f>
        <v>0</v>
      </c>
      <c r="C370" s="11" t="n">
        <f aca="false">A370-B370</f>
        <v>178500</v>
      </c>
      <c r="D370" s="11" t="n">
        <f aca="false">IF(Calculator!$B$6="Yes",MIN(B370,'Tax Tables'!$B$31*'Tax Tables'!$B$32),0)</f>
        <v>0</v>
      </c>
      <c r="E370" s="11" t="n">
        <f aca="false">D370*Calculator!$B$7</f>
        <v>0</v>
      </c>
      <c r="F370" s="11" t="n">
        <f aca="false">D370*Calculator!$B$8</f>
        <v>0</v>
      </c>
      <c r="G370" s="11" t="n">
        <f aca="false">IF(B370&gt;0,'Tax Tables'!$B$32*MIN(MAX(B370/'Tax Tables'!$B$32*'Tax Tables'!$B$33,'Tax Tables'!$B$34),'Tax Tables'!$B$35),0)</f>
        <v>0</v>
      </c>
      <c r="H370" s="11" t="n">
        <f aca="false">Calculator!$B$5-A370-F370-G370</f>
        <v>221500</v>
      </c>
      <c r="I370" s="11" t="n">
        <f aca="false">'Tax Tables'!$B$22*(MAX(H370,0)-IF(Calculator!$B$10="Yes",MIN(MAX(H370,0),'Tax Tables'!$B$27)*'Tax Tables'!$B$28+MIN(MAX(MAX(H370,0)-'Tax Tables'!$B$27,0),'Tax Tables'!$B$29)*'Tax Tables'!$B$30,MIN(MAX(H370,0),'Tax Tables'!$B$23)*'Tax Tables'!$B$24+MIN(MAX(MAX(H370,0)-'Tax Tables'!$B$23,0),'Tax Tables'!$B$25)*'Tax Tables'!$B$26))*1-MIN('Tax Tables'!$B$22*(MAX(H370,0)-IF(Calculator!$B$10="Yes",MIN(MAX(H370,0),'Tax Tables'!$B$27)*'Tax Tables'!$B$28+MIN(MAX(MAX(H370,0)-'Tax Tables'!$B$27,0),'Tax Tables'!$B$29)*'Tax Tables'!$B$30,MIN(MAX(H370,0),'Tax Tables'!$B$23)*'Tax Tables'!$B$24+MIN(MAX(MAX(H370,0)-'Tax Tables'!$B$23,0),'Tax Tables'!$B$25)*'Tax Tables'!$B$26))*Calculator!$B$11,Calculator!$B$12)</f>
        <v>20230</v>
      </c>
      <c r="J370" s="11" t="n">
        <f aca="false">MAX(H370,0)-I370</f>
        <v>201270</v>
      </c>
      <c r="K370" s="11" t="n">
        <f aca="false">MIN(IF(A370&gt;0,Calculator!$B$13,0)+E370+Calculator!$B$14,'Tax Tables'!$B$36)</f>
        <v>1000</v>
      </c>
      <c r="L370" s="11" t="n">
        <f aca="false">MAX(A370-K370,0)</f>
        <v>177500</v>
      </c>
      <c r="M370" s="11" t="n">
        <f aca="false">SUMPRODUCT((L370&gt;'Tax Tables'!$A$5:$A$17)*(L370-'Tax Tables'!$A$5:$A$17)*'Tax Tables'!$C$5:$C$17)</f>
        <v>17100</v>
      </c>
      <c r="N370" s="11" t="n">
        <f aca="false">IF(H370&lt;0,-1E+099,A370-E370-M370+J370+(E370+F370)*Calculator!$B$9)</f>
        <v>362670</v>
      </c>
      <c r="O370" s="2"/>
      <c r="P370" s="11" t="n">
        <f aca="false">357*$B$3</f>
        <v>178500</v>
      </c>
      <c r="Q370" s="11" t="n">
        <f aca="false">MIN(P370,'Tax Tables'!$B$31*'Tax Tables'!$B$32)</f>
        <v>96000</v>
      </c>
      <c r="R370" s="11" t="n">
        <f aca="false">P370-Q370</f>
        <v>82500</v>
      </c>
      <c r="S370" s="11" t="n">
        <f aca="false">IF(Calculator!$B$6="Yes",MIN(Q370,'Tax Tables'!$B$31*'Tax Tables'!$B$32),0)</f>
        <v>96000</v>
      </c>
      <c r="T370" s="11" t="n">
        <f aca="false">S370*Calculator!$B$7</f>
        <v>19200</v>
      </c>
      <c r="U370" s="11" t="n">
        <f aca="false">S370*Calculator!$B$8</f>
        <v>16320</v>
      </c>
      <c r="V370" s="11" t="n">
        <f aca="false">IF(Q370&gt;0,'Tax Tables'!$B$32*MIN(MAX(Q370/'Tax Tables'!$B$32*'Tax Tables'!$B$33,'Tax Tables'!$B$34),'Tax Tables'!$B$35),0)</f>
        <v>135</v>
      </c>
      <c r="W370" s="11" t="n">
        <f aca="false">Calculator!$B$5-P370-U370-V370</f>
        <v>205045</v>
      </c>
      <c r="X370" s="11" t="n">
        <f aca="false">'Tax Tables'!$B$22*(MAX(W370,0)-IF(Calculator!$B$10="Yes",MIN(MAX(W370,0),'Tax Tables'!$B$27)*'Tax Tables'!$B$28+MIN(MAX(MAX(W370,0)-'Tax Tables'!$B$27,0),'Tax Tables'!$B$29)*'Tax Tables'!$B$30,MIN(MAX(W370,0),'Tax Tables'!$B$23)*'Tax Tables'!$B$24+MIN(MAX(MAX(W370,0)-'Tax Tables'!$B$23,0),'Tax Tables'!$B$25)*'Tax Tables'!$B$26))*1-MIN('Tax Tables'!$B$22*(MAX(W370,0)-IF(Calculator!$B$10="Yes",MIN(MAX(W370,0),'Tax Tables'!$B$27)*'Tax Tables'!$B$28+MIN(MAX(MAX(W370,0)-'Tax Tables'!$B$27,0),'Tax Tables'!$B$29)*'Tax Tables'!$B$30,MIN(MAX(W370,0),'Tax Tables'!$B$23)*'Tax Tables'!$B$24+MIN(MAX(MAX(W370,0)-'Tax Tables'!$B$23,0),'Tax Tables'!$B$25)*'Tax Tables'!$B$26))*Calculator!$B$11,Calculator!$B$12)</f>
        <v>17432.65</v>
      </c>
      <c r="Y370" s="11" t="n">
        <f aca="false">MAX(W370,0)-X370</f>
        <v>187612.35</v>
      </c>
      <c r="Z370" s="11" t="n">
        <f aca="false">MIN(IF(P370&gt;0,Calculator!$B$13,0)+T370+Calculator!$B$14,'Tax Tables'!$B$36)</f>
        <v>20200</v>
      </c>
      <c r="AA370" s="11" t="n">
        <f aca="false">MAX(P370-Z370,0)</f>
        <v>158300</v>
      </c>
      <c r="AB370" s="11" t="n">
        <f aca="false">SUMPRODUCT((AA370&gt;'Tax Tables'!$A$5:$A$17)*(AA370-'Tax Tables'!$A$5:$A$17)*'Tax Tables'!$C$5:$C$17)</f>
        <v>13695</v>
      </c>
      <c r="AC370" s="11" t="n">
        <f aca="false">IF(W370&lt;0,-1E+099,P370-T370-AB370+Y370+(T370+U370)*Calculator!$B$9)</f>
        <v>368737.35</v>
      </c>
    </row>
    <row r="371" customFormat="false" ht="15" hidden="false" customHeight="false" outlineLevel="0" collapsed="false">
      <c r="A371" s="11" t="n">
        <f aca="false">358*$B$3</f>
        <v>179000</v>
      </c>
      <c r="B371" s="11" t="n">
        <f aca="false">0</f>
        <v>0</v>
      </c>
      <c r="C371" s="11" t="n">
        <f aca="false">A371-B371</f>
        <v>179000</v>
      </c>
      <c r="D371" s="11" t="n">
        <f aca="false">IF(Calculator!$B$6="Yes",MIN(B371,'Tax Tables'!$B$31*'Tax Tables'!$B$32),0)</f>
        <v>0</v>
      </c>
      <c r="E371" s="11" t="n">
        <f aca="false">D371*Calculator!$B$7</f>
        <v>0</v>
      </c>
      <c r="F371" s="11" t="n">
        <f aca="false">D371*Calculator!$B$8</f>
        <v>0</v>
      </c>
      <c r="G371" s="11" t="n">
        <f aca="false">IF(B371&gt;0,'Tax Tables'!$B$32*MIN(MAX(B371/'Tax Tables'!$B$32*'Tax Tables'!$B$33,'Tax Tables'!$B$34),'Tax Tables'!$B$35),0)</f>
        <v>0</v>
      </c>
      <c r="H371" s="11" t="n">
        <f aca="false">Calculator!$B$5-A371-F371-G371</f>
        <v>221000</v>
      </c>
      <c r="I371" s="11" t="n">
        <f aca="false">'Tax Tables'!$B$22*(MAX(H371,0)-IF(Calculator!$B$10="Yes",MIN(MAX(H371,0),'Tax Tables'!$B$27)*'Tax Tables'!$B$28+MIN(MAX(MAX(H371,0)-'Tax Tables'!$B$27,0),'Tax Tables'!$B$29)*'Tax Tables'!$B$30,MIN(MAX(H371,0),'Tax Tables'!$B$23)*'Tax Tables'!$B$24+MIN(MAX(MAX(H371,0)-'Tax Tables'!$B$23,0),'Tax Tables'!$B$25)*'Tax Tables'!$B$26))*1-MIN('Tax Tables'!$B$22*(MAX(H371,0)-IF(Calculator!$B$10="Yes",MIN(MAX(H371,0),'Tax Tables'!$B$27)*'Tax Tables'!$B$28+MIN(MAX(MAX(H371,0)-'Tax Tables'!$B$27,0),'Tax Tables'!$B$29)*'Tax Tables'!$B$30,MIN(MAX(H371,0),'Tax Tables'!$B$23)*'Tax Tables'!$B$24+MIN(MAX(MAX(H371,0)-'Tax Tables'!$B$23,0),'Tax Tables'!$B$25)*'Tax Tables'!$B$26))*Calculator!$B$11,Calculator!$B$12)</f>
        <v>20145</v>
      </c>
      <c r="J371" s="11" t="n">
        <f aca="false">MAX(H371,0)-I371</f>
        <v>200855</v>
      </c>
      <c r="K371" s="11" t="n">
        <f aca="false">MIN(IF(A371&gt;0,Calculator!$B$13,0)+E371+Calculator!$B$14,'Tax Tables'!$B$36)</f>
        <v>1000</v>
      </c>
      <c r="L371" s="11" t="n">
        <f aca="false">MAX(A371-K371,0)</f>
        <v>178000</v>
      </c>
      <c r="M371" s="11" t="n">
        <f aca="false">SUMPRODUCT((L371&gt;'Tax Tables'!$A$5:$A$17)*(L371-'Tax Tables'!$A$5:$A$17)*'Tax Tables'!$C$5:$C$17)</f>
        <v>17190</v>
      </c>
      <c r="N371" s="11" t="n">
        <f aca="false">IF(H371&lt;0,-1E+099,A371-E371-M371+J371+(E371+F371)*Calculator!$B$9)</f>
        <v>362665</v>
      </c>
      <c r="O371" s="2"/>
      <c r="P371" s="11" t="n">
        <f aca="false">358*$B$3</f>
        <v>179000</v>
      </c>
      <c r="Q371" s="11" t="n">
        <f aca="false">MIN(P371,'Tax Tables'!$B$31*'Tax Tables'!$B$32)</f>
        <v>96000</v>
      </c>
      <c r="R371" s="11" t="n">
        <f aca="false">P371-Q371</f>
        <v>83000</v>
      </c>
      <c r="S371" s="11" t="n">
        <f aca="false">IF(Calculator!$B$6="Yes",MIN(Q371,'Tax Tables'!$B$31*'Tax Tables'!$B$32),0)</f>
        <v>96000</v>
      </c>
      <c r="T371" s="11" t="n">
        <f aca="false">S371*Calculator!$B$7</f>
        <v>19200</v>
      </c>
      <c r="U371" s="11" t="n">
        <f aca="false">S371*Calculator!$B$8</f>
        <v>16320</v>
      </c>
      <c r="V371" s="11" t="n">
        <f aca="false">IF(Q371&gt;0,'Tax Tables'!$B$32*MIN(MAX(Q371/'Tax Tables'!$B$32*'Tax Tables'!$B$33,'Tax Tables'!$B$34),'Tax Tables'!$B$35),0)</f>
        <v>135</v>
      </c>
      <c r="W371" s="11" t="n">
        <f aca="false">Calculator!$B$5-P371-U371-V371</f>
        <v>204545</v>
      </c>
      <c r="X371" s="11" t="n">
        <f aca="false">'Tax Tables'!$B$22*(MAX(W371,0)-IF(Calculator!$B$10="Yes",MIN(MAX(W371,0),'Tax Tables'!$B$27)*'Tax Tables'!$B$28+MIN(MAX(MAX(W371,0)-'Tax Tables'!$B$27,0),'Tax Tables'!$B$29)*'Tax Tables'!$B$30,MIN(MAX(W371,0),'Tax Tables'!$B$23)*'Tax Tables'!$B$24+MIN(MAX(MAX(W371,0)-'Tax Tables'!$B$23,0),'Tax Tables'!$B$25)*'Tax Tables'!$B$26))*1-MIN('Tax Tables'!$B$22*(MAX(W371,0)-IF(Calculator!$B$10="Yes",MIN(MAX(W371,0),'Tax Tables'!$B$27)*'Tax Tables'!$B$28+MIN(MAX(MAX(W371,0)-'Tax Tables'!$B$27,0),'Tax Tables'!$B$29)*'Tax Tables'!$B$30,MIN(MAX(W371,0),'Tax Tables'!$B$23)*'Tax Tables'!$B$24+MIN(MAX(MAX(W371,0)-'Tax Tables'!$B$23,0),'Tax Tables'!$B$25)*'Tax Tables'!$B$26))*Calculator!$B$11,Calculator!$B$12)</f>
        <v>17347.65</v>
      </c>
      <c r="Y371" s="11" t="n">
        <f aca="false">MAX(W371,0)-X371</f>
        <v>187197.35</v>
      </c>
      <c r="Z371" s="11" t="n">
        <f aca="false">MIN(IF(P371&gt;0,Calculator!$B$13,0)+T371+Calculator!$B$14,'Tax Tables'!$B$36)</f>
        <v>20200</v>
      </c>
      <c r="AA371" s="11" t="n">
        <f aca="false">MAX(P371-Z371,0)</f>
        <v>158800</v>
      </c>
      <c r="AB371" s="11" t="n">
        <f aca="false">SUMPRODUCT((AA371&gt;'Tax Tables'!$A$5:$A$17)*(AA371-'Tax Tables'!$A$5:$A$17)*'Tax Tables'!$C$5:$C$17)</f>
        <v>13770</v>
      </c>
      <c r="AC371" s="11" t="n">
        <f aca="false">IF(W371&lt;0,-1E+099,P371-T371-AB371+Y371+(T371+U371)*Calculator!$B$9)</f>
        <v>368747.35</v>
      </c>
    </row>
    <row r="372" customFormat="false" ht="15" hidden="false" customHeight="false" outlineLevel="0" collapsed="false">
      <c r="A372" s="11" t="n">
        <f aca="false">359*$B$3</f>
        <v>179500</v>
      </c>
      <c r="B372" s="11" t="n">
        <f aca="false">0</f>
        <v>0</v>
      </c>
      <c r="C372" s="11" t="n">
        <f aca="false">A372-B372</f>
        <v>179500</v>
      </c>
      <c r="D372" s="11" t="n">
        <f aca="false">IF(Calculator!$B$6="Yes",MIN(B372,'Tax Tables'!$B$31*'Tax Tables'!$B$32),0)</f>
        <v>0</v>
      </c>
      <c r="E372" s="11" t="n">
        <f aca="false">D372*Calculator!$B$7</f>
        <v>0</v>
      </c>
      <c r="F372" s="11" t="n">
        <f aca="false">D372*Calculator!$B$8</f>
        <v>0</v>
      </c>
      <c r="G372" s="11" t="n">
        <f aca="false">IF(B372&gt;0,'Tax Tables'!$B$32*MIN(MAX(B372/'Tax Tables'!$B$32*'Tax Tables'!$B$33,'Tax Tables'!$B$34),'Tax Tables'!$B$35),0)</f>
        <v>0</v>
      </c>
      <c r="H372" s="11" t="n">
        <f aca="false">Calculator!$B$5-A372-F372-G372</f>
        <v>220500</v>
      </c>
      <c r="I372" s="11" t="n">
        <f aca="false">'Tax Tables'!$B$22*(MAX(H372,0)-IF(Calculator!$B$10="Yes",MIN(MAX(H372,0),'Tax Tables'!$B$27)*'Tax Tables'!$B$28+MIN(MAX(MAX(H372,0)-'Tax Tables'!$B$27,0),'Tax Tables'!$B$29)*'Tax Tables'!$B$30,MIN(MAX(H372,0),'Tax Tables'!$B$23)*'Tax Tables'!$B$24+MIN(MAX(MAX(H372,0)-'Tax Tables'!$B$23,0),'Tax Tables'!$B$25)*'Tax Tables'!$B$26))*1-MIN('Tax Tables'!$B$22*(MAX(H372,0)-IF(Calculator!$B$10="Yes",MIN(MAX(H372,0),'Tax Tables'!$B$27)*'Tax Tables'!$B$28+MIN(MAX(MAX(H372,0)-'Tax Tables'!$B$27,0),'Tax Tables'!$B$29)*'Tax Tables'!$B$30,MIN(MAX(H372,0),'Tax Tables'!$B$23)*'Tax Tables'!$B$24+MIN(MAX(MAX(H372,0)-'Tax Tables'!$B$23,0),'Tax Tables'!$B$25)*'Tax Tables'!$B$26))*Calculator!$B$11,Calculator!$B$12)</f>
        <v>20060</v>
      </c>
      <c r="J372" s="11" t="n">
        <f aca="false">MAX(H372,0)-I372</f>
        <v>200440</v>
      </c>
      <c r="K372" s="11" t="n">
        <f aca="false">MIN(IF(A372&gt;0,Calculator!$B$13,0)+E372+Calculator!$B$14,'Tax Tables'!$B$36)</f>
        <v>1000</v>
      </c>
      <c r="L372" s="11" t="n">
        <f aca="false">MAX(A372-K372,0)</f>
        <v>178500</v>
      </c>
      <c r="M372" s="11" t="n">
        <f aca="false">SUMPRODUCT((L372&gt;'Tax Tables'!$A$5:$A$17)*(L372-'Tax Tables'!$A$5:$A$17)*'Tax Tables'!$C$5:$C$17)</f>
        <v>17280</v>
      </c>
      <c r="N372" s="11" t="n">
        <f aca="false">IF(H372&lt;0,-1E+099,A372-E372-M372+J372+(E372+F372)*Calculator!$B$9)</f>
        <v>362660</v>
      </c>
      <c r="O372" s="2"/>
      <c r="P372" s="11" t="n">
        <f aca="false">359*$B$3</f>
        <v>179500</v>
      </c>
      <c r="Q372" s="11" t="n">
        <f aca="false">MIN(P372,'Tax Tables'!$B$31*'Tax Tables'!$B$32)</f>
        <v>96000</v>
      </c>
      <c r="R372" s="11" t="n">
        <f aca="false">P372-Q372</f>
        <v>83500</v>
      </c>
      <c r="S372" s="11" t="n">
        <f aca="false">IF(Calculator!$B$6="Yes",MIN(Q372,'Tax Tables'!$B$31*'Tax Tables'!$B$32),0)</f>
        <v>96000</v>
      </c>
      <c r="T372" s="11" t="n">
        <f aca="false">S372*Calculator!$B$7</f>
        <v>19200</v>
      </c>
      <c r="U372" s="11" t="n">
        <f aca="false">S372*Calculator!$B$8</f>
        <v>16320</v>
      </c>
      <c r="V372" s="11" t="n">
        <f aca="false">IF(Q372&gt;0,'Tax Tables'!$B$32*MIN(MAX(Q372/'Tax Tables'!$B$32*'Tax Tables'!$B$33,'Tax Tables'!$B$34),'Tax Tables'!$B$35),0)</f>
        <v>135</v>
      </c>
      <c r="W372" s="11" t="n">
        <f aca="false">Calculator!$B$5-P372-U372-V372</f>
        <v>204045</v>
      </c>
      <c r="X372" s="11" t="n">
        <f aca="false">'Tax Tables'!$B$22*(MAX(W372,0)-IF(Calculator!$B$10="Yes",MIN(MAX(W372,0),'Tax Tables'!$B$27)*'Tax Tables'!$B$28+MIN(MAX(MAX(W372,0)-'Tax Tables'!$B$27,0),'Tax Tables'!$B$29)*'Tax Tables'!$B$30,MIN(MAX(W372,0),'Tax Tables'!$B$23)*'Tax Tables'!$B$24+MIN(MAX(MAX(W372,0)-'Tax Tables'!$B$23,0),'Tax Tables'!$B$25)*'Tax Tables'!$B$26))*1-MIN('Tax Tables'!$B$22*(MAX(W372,0)-IF(Calculator!$B$10="Yes",MIN(MAX(W372,0),'Tax Tables'!$B$27)*'Tax Tables'!$B$28+MIN(MAX(MAX(W372,0)-'Tax Tables'!$B$27,0),'Tax Tables'!$B$29)*'Tax Tables'!$B$30,MIN(MAX(W372,0),'Tax Tables'!$B$23)*'Tax Tables'!$B$24+MIN(MAX(MAX(W372,0)-'Tax Tables'!$B$23,0),'Tax Tables'!$B$25)*'Tax Tables'!$B$26))*Calculator!$B$11,Calculator!$B$12)</f>
        <v>17262.65</v>
      </c>
      <c r="Y372" s="11" t="n">
        <f aca="false">MAX(W372,0)-X372</f>
        <v>186782.35</v>
      </c>
      <c r="Z372" s="11" t="n">
        <f aca="false">MIN(IF(P372&gt;0,Calculator!$B$13,0)+T372+Calculator!$B$14,'Tax Tables'!$B$36)</f>
        <v>20200</v>
      </c>
      <c r="AA372" s="11" t="n">
        <f aca="false">MAX(P372-Z372,0)</f>
        <v>159300</v>
      </c>
      <c r="AB372" s="11" t="n">
        <f aca="false">SUMPRODUCT((AA372&gt;'Tax Tables'!$A$5:$A$17)*(AA372-'Tax Tables'!$A$5:$A$17)*'Tax Tables'!$C$5:$C$17)</f>
        <v>13845</v>
      </c>
      <c r="AC372" s="11" t="n">
        <f aca="false">IF(W372&lt;0,-1E+099,P372-T372-AB372+Y372+(T372+U372)*Calculator!$B$9)</f>
        <v>368757.35</v>
      </c>
    </row>
    <row r="373" customFormat="false" ht="15" hidden="false" customHeight="false" outlineLevel="0" collapsed="false">
      <c r="A373" s="11" t="n">
        <f aca="false">360*$B$3</f>
        <v>180000</v>
      </c>
      <c r="B373" s="11" t="n">
        <f aca="false">0</f>
        <v>0</v>
      </c>
      <c r="C373" s="11" t="n">
        <f aca="false">A373-B373</f>
        <v>180000</v>
      </c>
      <c r="D373" s="11" t="n">
        <f aca="false">IF(Calculator!$B$6="Yes",MIN(B373,'Tax Tables'!$B$31*'Tax Tables'!$B$32),0)</f>
        <v>0</v>
      </c>
      <c r="E373" s="11" t="n">
        <f aca="false">D373*Calculator!$B$7</f>
        <v>0</v>
      </c>
      <c r="F373" s="11" t="n">
        <f aca="false">D373*Calculator!$B$8</f>
        <v>0</v>
      </c>
      <c r="G373" s="11" t="n">
        <f aca="false">IF(B373&gt;0,'Tax Tables'!$B$32*MIN(MAX(B373/'Tax Tables'!$B$32*'Tax Tables'!$B$33,'Tax Tables'!$B$34),'Tax Tables'!$B$35),0)</f>
        <v>0</v>
      </c>
      <c r="H373" s="11" t="n">
        <f aca="false">Calculator!$B$5-A373-F373-G373</f>
        <v>220000</v>
      </c>
      <c r="I373" s="11" t="n">
        <f aca="false">'Tax Tables'!$B$22*(MAX(H373,0)-IF(Calculator!$B$10="Yes",MIN(MAX(H373,0),'Tax Tables'!$B$27)*'Tax Tables'!$B$28+MIN(MAX(MAX(H373,0)-'Tax Tables'!$B$27,0),'Tax Tables'!$B$29)*'Tax Tables'!$B$30,MIN(MAX(H373,0),'Tax Tables'!$B$23)*'Tax Tables'!$B$24+MIN(MAX(MAX(H373,0)-'Tax Tables'!$B$23,0),'Tax Tables'!$B$25)*'Tax Tables'!$B$26))*1-MIN('Tax Tables'!$B$22*(MAX(H373,0)-IF(Calculator!$B$10="Yes",MIN(MAX(H373,0),'Tax Tables'!$B$27)*'Tax Tables'!$B$28+MIN(MAX(MAX(H373,0)-'Tax Tables'!$B$27,0),'Tax Tables'!$B$29)*'Tax Tables'!$B$30,MIN(MAX(H373,0),'Tax Tables'!$B$23)*'Tax Tables'!$B$24+MIN(MAX(MAX(H373,0)-'Tax Tables'!$B$23,0),'Tax Tables'!$B$25)*'Tax Tables'!$B$26))*Calculator!$B$11,Calculator!$B$12)</f>
        <v>19975</v>
      </c>
      <c r="J373" s="11" t="n">
        <f aca="false">MAX(H373,0)-I373</f>
        <v>200025</v>
      </c>
      <c r="K373" s="11" t="n">
        <f aca="false">MIN(IF(A373&gt;0,Calculator!$B$13,0)+E373+Calculator!$B$14,'Tax Tables'!$B$36)</f>
        <v>1000</v>
      </c>
      <c r="L373" s="11" t="n">
        <f aca="false">MAX(A373-K373,0)</f>
        <v>179000</v>
      </c>
      <c r="M373" s="11" t="n">
        <f aca="false">SUMPRODUCT((L373&gt;'Tax Tables'!$A$5:$A$17)*(L373-'Tax Tables'!$A$5:$A$17)*'Tax Tables'!$C$5:$C$17)</f>
        <v>17370</v>
      </c>
      <c r="N373" s="11" t="n">
        <f aca="false">IF(H373&lt;0,-1E+099,A373-E373-M373+J373+(E373+F373)*Calculator!$B$9)</f>
        <v>362655</v>
      </c>
      <c r="O373" s="2"/>
      <c r="P373" s="11" t="n">
        <f aca="false">360*$B$3</f>
        <v>180000</v>
      </c>
      <c r="Q373" s="11" t="n">
        <f aca="false">MIN(P373,'Tax Tables'!$B$31*'Tax Tables'!$B$32)</f>
        <v>96000</v>
      </c>
      <c r="R373" s="11" t="n">
        <f aca="false">P373-Q373</f>
        <v>84000</v>
      </c>
      <c r="S373" s="11" t="n">
        <f aca="false">IF(Calculator!$B$6="Yes",MIN(Q373,'Tax Tables'!$B$31*'Tax Tables'!$B$32),0)</f>
        <v>96000</v>
      </c>
      <c r="T373" s="11" t="n">
        <f aca="false">S373*Calculator!$B$7</f>
        <v>19200</v>
      </c>
      <c r="U373" s="11" t="n">
        <f aca="false">S373*Calculator!$B$8</f>
        <v>16320</v>
      </c>
      <c r="V373" s="11" t="n">
        <f aca="false">IF(Q373&gt;0,'Tax Tables'!$B$32*MIN(MAX(Q373/'Tax Tables'!$B$32*'Tax Tables'!$B$33,'Tax Tables'!$B$34),'Tax Tables'!$B$35),0)</f>
        <v>135</v>
      </c>
      <c r="W373" s="11" t="n">
        <f aca="false">Calculator!$B$5-P373-U373-V373</f>
        <v>203545</v>
      </c>
      <c r="X373" s="11" t="n">
        <f aca="false">'Tax Tables'!$B$22*(MAX(W373,0)-IF(Calculator!$B$10="Yes",MIN(MAX(W373,0),'Tax Tables'!$B$27)*'Tax Tables'!$B$28+MIN(MAX(MAX(W373,0)-'Tax Tables'!$B$27,0),'Tax Tables'!$B$29)*'Tax Tables'!$B$30,MIN(MAX(W373,0),'Tax Tables'!$B$23)*'Tax Tables'!$B$24+MIN(MAX(MAX(W373,0)-'Tax Tables'!$B$23,0),'Tax Tables'!$B$25)*'Tax Tables'!$B$26))*1-MIN('Tax Tables'!$B$22*(MAX(W373,0)-IF(Calculator!$B$10="Yes",MIN(MAX(W373,0),'Tax Tables'!$B$27)*'Tax Tables'!$B$28+MIN(MAX(MAX(W373,0)-'Tax Tables'!$B$27,0),'Tax Tables'!$B$29)*'Tax Tables'!$B$30,MIN(MAX(W373,0),'Tax Tables'!$B$23)*'Tax Tables'!$B$24+MIN(MAX(MAX(W373,0)-'Tax Tables'!$B$23,0),'Tax Tables'!$B$25)*'Tax Tables'!$B$26))*Calculator!$B$11,Calculator!$B$12)</f>
        <v>17177.65</v>
      </c>
      <c r="Y373" s="11" t="n">
        <f aca="false">MAX(W373,0)-X373</f>
        <v>186367.35</v>
      </c>
      <c r="Z373" s="11" t="n">
        <f aca="false">MIN(IF(P373&gt;0,Calculator!$B$13,0)+T373+Calculator!$B$14,'Tax Tables'!$B$36)</f>
        <v>20200</v>
      </c>
      <c r="AA373" s="11" t="n">
        <f aca="false">MAX(P373-Z373,0)</f>
        <v>159800</v>
      </c>
      <c r="AB373" s="11" t="n">
        <f aca="false">SUMPRODUCT((AA373&gt;'Tax Tables'!$A$5:$A$17)*(AA373-'Tax Tables'!$A$5:$A$17)*'Tax Tables'!$C$5:$C$17)</f>
        <v>13920</v>
      </c>
      <c r="AC373" s="11" t="n">
        <f aca="false">IF(W373&lt;0,-1E+099,P373-T373-AB373+Y373+(T373+U373)*Calculator!$B$9)</f>
        <v>368767.35</v>
      </c>
    </row>
    <row r="374" customFormat="false" ht="15" hidden="false" customHeight="false" outlineLevel="0" collapsed="false">
      <c r="A374" s="11" t="n">
        <f aca="false">361*$B$3</f>
        <v>180500</v>
      </c>
      <c r="B374" s="11" t="n">
        <f aca="false">0</f>
        <v>0</v>
      </c>
      <c r="C374" s="11" t="n">
        <f aca="false">A374-B374</f>
        <v>180500</v>
      </c>
      <c r="D374" s="11" t="n">
        <f aca="false">IF(Calculator!$B$6="Yes",MIN(B374,'Tax Tables'!$B$31*'Tax Tables'!$B$32),0)</f>
        <v>0</v>
      </c>
      <c r="E374" s="11" t="n">
        <f aca="false">D374*Calculator!$B$7</f>
        <v>0</v>
      </c>
      <c r="F374" s="11" t="n">
        <f aca="false">D374*Calculator!$B$8</f>
        <v>0</v>
      </c>
      <c r="G374" s="11" t="n">
        <f aca="false">IF(B374&gt;0,'Tax Tables'!$B$32*MIN(MAX(B374/'Tax Tables'!$B$32*'Tax Tables'!$B$33,'Tax Tables'!$B$34),'Tax Tables'!$B$35),0)</f>
        <v>0</v>
      </c>
      <c r="H374" s="11" t="n">
        <f aca="false">Calculator!$B$5-A374-F374-G374</f>
        <v>219500</v>
      </c>
      <c r="I374" s="11" t="n">
        <f aca="false">'Tax Tables'!$B$22*(MAX(H374,0)-IF(Calculator!$B$10="Yes",MIN(MAX(H374,0),'Tax Tables'!$B$27)*'Tax Tables'!$B$28+MIN(MAX(MAX(H374,0)-'Tax Tables'!$B$27,0),'Tax Tables'!$B$29)*'Tax Tables'!$B$30,MIN(MAX(H374,0),'Tax Tables'!$B$23)*'Tax Tables'!$B$24+MIN(MAX(MAX(H374,0)-'Tax Tables'!$B$23,0),'Tax Tables'!$B$25)*'Tax Tables'!$B$26))*1-MIN('Tax Tables'!$B$22*(MAX(H374,0)-IF(Calculator!$B$10="Yes",MIN(MAX(H374,0),'Tax Tables'!$B$27)*'Tax Tables'!$B$28+MIN(MAX(MAX(H374,0)-'Tax Tables'!$B$27,0),'Tax Tables'!$B$29)*'Tax Tables'!$B$30,MIN(MAX(H374,0),'Tax Tables'!$B$23)*'Tax Tables'!$B$24+MIN(MAX(MAX(H374,0)-'Tax Tables'!$B$23,0),'Tax Tables'!$B$25)*'Tax Tables'!$B$26))*Calculator!$B$11,Calculator!$B$12)</f>
        <v>19890</v>
      </c>
      <c r="J374" s="11" t="n">
        <f aca="false">MAX(H374,0)-I374</f>
        <v>199610</v>
      </c>
      <c r="K374" s="11" t="n">
        <f aca="false">MIN(IF(A374&gt;0,Calculator!$B$13,0)+E374+Calculator!$B$14,'Tax Tables'!$B$36)</f>
        <v>1000</v>
      </c>
      <c r="L374" s="11" t="n">
        <f aca="false">MAX(A374-K374,0)</f>
        <v>179500</v>
      </c>
      <c r="M374" s="11" t="n">
        <f aca="false">SUMPRODUCT((L374&gt;'Tax Tables'!$A$5:$A$17)*(L374-'Tax Tables'!$A$5:$A$17)*'Tax Tables'!$C$5:$C$17)</f>
        <v>17460</v>
      </c>
      <c r="N374" s="11" t="n">
        <f aca="false">IF(H374&lt;0,-1E+099,A374-E374-M374+J374+(E374+F374)*Calculator!$B$9)</f>
        <v>362650</v>
      </c>
      <c r="O374" s="2"/>
      <c r="P374" s="11" t="n">
        <f aca="false">361*$B$3</f>
        <v>180500</v>
      </c>
      <c r="Q374" s="11" t="n">
        <f aca="false">MIN(P374,'Tax Tables'!$B$31*'Tax Tables'!$B$32)</f>
        <v>96000</v>
      </c>
      <c r="R374" s="11" t="n">
        <f aca="false">P374-Q374</f>
        <v>84500</v>
      </c>
      <c r="S374" s="11" t="n">
        <f aca="false">IF(Calculator!$B$6="Yes",MIN(Q374,'Tax Tables'!$B$31*'Tax Tables'!$B$32),0)</f>
        <v>96000</v>
      </c>
      <c r="T374" s="11" t="n">
        <f aca="false">S374*Calculator!$B$7</f>
        <v>19200</v>
      </c>
      <c r="U374" s="11" t="n">
        <f aca="false">S374*Calculator!$B$8</f>
        <v>16320</v>
      </c>
      <c r="V374" s="11" t="n">
        <f aca="false">IF(Q374&gt;0,'Tax Tables'!$B$32*MIN(MAX(Q374/'Tax Tables'!$B$32*'Tax Tables'!$B$33,'Tax Tables'!$B$34),'Tax Tables'!$B$35),0)</f>
        <v>135</v>
      </c>
      <c r="W374" s="11" t="n">
        <f aca="false">Calculator!$B$5-P374-U374-V374</f>
        <v>203045</v>
      </c>
      <c r="X374" s="11" t="n">
        <f aca="false">'Tax Tables'!$B$22*(MAX(W374,0)-IF(Calculator!$B$10="Yes",MIN(MAX(W374,0),'Tax Tables'!$B$27)*'Tax Tables'!$B$28+MIN(MAX(MAX(W374,0)-'Tax Tables'!$B$27,0),'Tax Tables'!$B$29)*'Tax Tables'!$B$30,MIN(MAX(W374,0),'Tax Tables'!$B$23)*'Tax Tables'!$B$24+MIN(MAX(MAX(W374,0)-'Tax Tables'!$B$23,0),'Tax Tables'!$B$25)*'Tax Tables'!$B$26))*1-MIN('Tax Tables'!$B$22*(MAX(W374,0)-IF(Calculator!$B$10="Yes",MIN(MAX(W374,0),'Tax Tables'!$B$27)*'Tax Tables'!$B$28+MIN(MAX(MAX(W374,0)-'Tax Tables'!$B$27,0),'Tax Tables'!$B$29)*'Tax Tables'!$B$30,MIN(MAX(W374,0),'Tax Tables'!$B$23)*'Tax Tables'!$B$24+MIN(MAX(MAX(W374,0)-'Tax Tables'!$B$23,0),'Tax Tables'!$B$25)*'Tax Tables'!$B$26))*Calculator!$B$11,Calculator!$B$12)</f>
        <v>17092.65</v>
      </c>
      <c r="Y374" s="11" t="n">
        <f aca="false">MAX(W374,0)-X374</f>
        <v>185952.35</v>
      </c>
      <c r="Z374" s="11" t="n">
        <f aca="false">MIN(IF(P374&gt;0,Calculator!$B$13,0)+T374+Calculator!$B$14,'Tax Tables'!$B$36)</f>
        <v>20200</v>
      </c>
      <c r="AA374" s="11" t="n">
        <f aca="false">MAX(P374-Z374,0)</f>
        <v>160300</v>
      </c>
      <c r="AB374" s="11" t="n">
        <f aca="false">SUMPRODUCT((AA374&gt;'Tax Tables'!$A$5:$A$17)*(AA374-'Tax Tables'!$A$5:$A$17)*'Tax Tables'!$C$5:$C$17)</f>
        <v>14004</v>
      </c>
      <c r="AC374" s="11" t="n">
        <f aca="false">IF(W374&lt;0,-1E+099,P374-T374-AB374+Y374+(T374+U374)*Calculator!$B$9)</f>
        <v>368768.35</v>
      </c>
    </row>
    <row r="375" customFormat="false" ht="15" hidden="false" customHeight="false" outlineLevel="0" collapsed="false">
      <c r="A375" s="11" t="n">
        <f aca="false">362*$B$3</f>
        <v>181000</v>
      </c>
      <c r="B375" s="11" t="n">
        <f aca="false">0</f>
        <v>0</v>
      </c>
      <c r="C375" s="11" t="n">
        <f aca="false">A375-B375</f>
        <v>181000</v>
      </c>
      <c r="D375" s="11" t="n">
        <f aca="false">IF(Calculator!$B$6="Yes",MIN(B375,'Tax Tables'!$B$31*'Tax Tables'!$B$32),0)</f>
        <v>0</v>
      </c>
      <c r="E375" s="11" t="n">
        <f aca="false">D375*Calculator!$B$7</f>
        <v>0</v>
      </c>
      <c r="F375" s="11" t="n">
        <f aca="false">D375*Calculator!$B$8</f>
        <v>0</v>
      </c>
      <c r="G375" s="11" t="n">
        <f aca="false">IF(B375&gt;0,'Tax Tables'!$B$32*MIN(MAX(B375/'Tax Tables'!$B$32*'Tax Tables'!$B$33,'Tax Tables'!$B$34),'Tax Tables'!$B$35),0)</f>
        <v>0</v>
      </c>
      <c r="H375" s="11" t="n">
        <f aca="false">Calculator!$B$5-A375-F375-G375</f>
        <v>219000</v>
      </c>
      <c r="I375" s="11" t="n">
        <f aca="false">'Tax Tables'!$B$22*(MAX(H375,0)-IF(Calculator!$B$10="Yes",MIN(MAX(H375,0),'Tax Tables'!$B$27)*'Tax Tables'!$B$28+MIN(MAX(MAX(H375,0)-'Tax Tables'!$B$27,0),'Tax Tables'!$B$29)*'Tax Tables'!$B$30,MIN(MAX(H375,0),'Tax Tables'!$B$23)*'Tax Tables'!$B$24+MIN(MAX(MAX(H375,0)-'Tax Tables'!$B$23,0),'Tax Tables'!$B$25)*'Tax Tables'!$B$26))*1-MIN('Tax Tables'!$B$22*(MAX(H375,0)-IF(Calculator!$B$10="Yes",MIN(MAX(H375,0),'Tax Tables'!$B$27)*'Tax Tables'!$B$28+MIN(MAX(MAX(H375,0)-'Tax Tables'!$B$27,0),'Tax Tables'!$B$29)*'Tax Tables'!$B$30,MIN(MAX(H375,0),'Tax Tables'!$B$23)*'Tax Tables'!$B$24+MIN(MAX(MAX(H375,0)-'Tax Tables'!$B$23,0),'Tax Tables'!$B$25)*'Tax Tables'!$B$26))*Calculator!$B$11,Calculator!$B$12)</f>
        <v>19805</v>
      </c>
      <c r="J375" s="11" t="n">
        <f aca="false">MAX(H375,0)-I375</f>
        <v>199195</v>
      </c>
      <c r="K375" s="11" t="n">
        <f aca="false">MIN(IF(A375&gt;0,Calculator!$B$13,0)+E375+Calculator!$B$14,'Tax Tables'!$B$36)</f>
        <v>1000</v>
      </c>
      <c r="L375" s="11" t="n">
        <f aca="false">MAX(A375-K375,0)</f>
        <v>180000</v>
      </c>
      <c r="M375" s="11" t="n">
        <f aca="false">SUMPRODUCT((L375&gt;'Tax Tables'!$A$5:$A$17)*(L375-'Tax Tables'!$A$5:$A$17)*'Tax Tables'!$C$5:$C$17)</f>
        <v>17550</v>
      </c>
      <c r="N375" s="11" t="n">
        <f aca="false">IF(H375&lt;0,-1E+099,A375-E375-M375+J375+(E375+F375)*Calculator!$B$9)</f>
        <v>362645</v>
      </c>
      <c r="O375" s="2"/>
      <c r="P375" s="11" t="n">
        <f aca="false">362*$B$3</f>
        <v>181000</v>
      </c>
      <c r="Q375" s="11" t="n">
        <f aca="false">MIN(P375,'Tax Tables'!$B$31*'Tax Tables'!$B$32)</f>
        <v>96000</v>
      </c>
      <c r="R375" s="11" t="n">
        <f aca="false">P375-Q375</f>
        <v>85000</v>
      </c>
      <c r="S375" s="11" t="n">
        <f aca="false">IF(Calculator!$B$6="Yes",MIN(Q375,'Tax Tables'!$B$31*'Tax Tables'!$B$32),0)</f>
        <v>96000</v>
      </c>
      <c r="T375" s="11" t="n">
        <f aca="false">S375*Calculator!$B$7</f>
        <v>19200</v>
      </c>
      <c r="U375" s="11" t="n">
        <f aca="false">S375*Calculator!$B$8</f>
        <v>16320</v>
      </c>
      <c r="V375" s="11" t="n">
        <f aca="false">IF(Q375&gt;0,'Tax Tables'!$B$32*MIN(MAX(Q375/'Tax Tables'!$B$32*'Tax Tables'!$B$33,'Tax Tables'!$B$34),'Tax Tables'!$B$35),0)</f>
        <v>135</v>
      </c>
      <c r="W375" s="11" t="n">
        <f aca="false">Calculator!$B$5-P375-U375-V375</f>
        <v>202545</v>
      </c>
      <c r="X375" s="11" t="n">
        <f aca="false">'Tax Tables'!$B$22*(MAX(W375,0)-IF(Calculator!$B$10="Yes",MIN(MAX(W375,0),'Tax Tables'!$B$27)*'Tax Tables'!$B$28+MIN(MAX(MAX(W375,0)-'Tax Tables'!$B$27,0),'Tax Tables'!$B$29)*'Tax Tables'!$B$30,MIN(MAX(W375,0),'Tax Tables'!$B$23)*'Tax Tables'!$B$24+MIN(MAX(MAX(W375,0)-'Tax Tables'!$B$23,0),'Tax Tables'!$B$25)*'Tax Tables'!$B$26))*1-MIN('Tax Tables'!$B$22*(MAX(W375,0)-IF(Calculator!$B$10="Yes",MIN(MAX(W375,0),'Tax Tables'!$B$27)*'Tax Tables'!$B$28+MIN(MAX(MAX(W375,0)-'Tax Tables'!$B$27,0),'Tax Tables'!$B$29)*'Tax Tables'!$B$30,MIN(MAX(W375,0),'Tax Tables'!$B$23)*'Tax Tables'!$B$24+MIN(MAX(MAX(W375,0)-'Tax Tables'!$B$23,0),'Tax Tables'!$B$25)*'Tax Tables'!$B$26))*Calculator!$B$11,Calculator!$B$12)</f>
        <v>17007.65</v>
      </c>
      <c r="Y375" s="11" t="n">
        <f aca="false">MAX(W375,0)-X375</f>
        <v>185537.35</v>
      </c>
      <c r="Z375" s="11" t="n">
        <f aca="false">MIN(IF(P375&gt;0,Calculator!$B$13,0)+T375+Calculator!$B$14,'Tax Tables'!$B$36)</f>
        <v>20200</v>
      </c>
      <c r="AA375" s="11" t="n">
        <f aca="false">MAX(P375-Z375,0)</f>
        <v>160800</v>
      </c>
      <c r="AB375" s="11" t="n">
        <f aca="false">SUMPRODUCT((AA375&gt;'Tax Tables'!$A$5:$A$17)*(AA375-'Tax Tables'!$A$5:$A$17)*'Tax Tables'!$C$5:$C$17)</f>
        <v>14094</v>
      </c>
      <c r="AC375" s="11" t="n">
        <f aca="false">IF(W375&lt;0,-1E+099,P375-T375-AB375+Y375+(T375+U375)*Calculator!$B$9)</f>
        <v>368763.35</v>
      </c>
    </row>
    <row r="376" customFormat="false" ht="15" hidden="false" customHeight="false" outlineLevel="0" collapsed="false">
      <c r="A376" s="11" t="n">
        <f aca="false">363*$B$3</f>
        <v>181500</v>
      </c>
      <c r="B376" s="11" t="n">
        <f aca="false">0</f>
        <v>0</v>
      </c>
      <c r="C376" s="11" t="n">
        <f aca="false">A376-B376</f>
        <v>181500</v>
      </c>
      <c r="D376" s="11" t="n">
        <f aca="false">IF(Calculator!$B$6="Yes",MIN(B376,'Tax Tables'!$B$31*'Tax Tables'!$B$32),0)</f>
        <v>0</v>
      </c>
      <c r="E376" s="11" t="n">
        <f aca="false">D376*Calculator!$B$7</f>
        <v>0</v>
      </c>
      <c r="F376" s="11" t="n">
        <f aca="false">D376*Calculator!$B$8</f>
        <v>0</v>
      </c>
      <c r="G376" s="11" t="n">
        <f aca="false">IF(B376&gt;0,'Tax Tables'!$B$32*MIN(MAX(B376/'Tax Tables'!$B$32*'Tax Tables'!$B$33,'Tax Tables'!$B$34),'Tax Tables'!$B$35),0)</f>
        <v>0</v>
      </c>
      <c r="H376" s="11" t="n">
        <f aca="false">Calculator!$B$5-A376-F376-G376</f>
        <v>218500</v>
      </c>
      <c r="I376" s="11" t="n">
        <f aca="false">'Tax Tables'!$B$22*(MAX(H376,0)-IF(Calculator!$B$10="Yes",MIN(MAX(H376,0),'Tax Tables'!$B$27)*'Tax Tables'!$B$28+MIN(MAX(MAX(H376,0)-'Tax Tables'!$B$27,0),'Tax Tables'!$B$29)*'Tax Tables'!$B$30,MIN(MAX(H376,0),'Tax Tables'!$B$23)*'Tax Tables'!$B$24+MIN(MAX(MAX(H376,0)-'Tax Tables'!$B$23,0),'Tax Tables'!$B$25)*'Tax Tables'!$B$26))*1-MIN('Tax Tables'!$B$22*(MAX(H376,0)-IF(Calculator!$B$10="Yes",MIN(MAX(H376,0),'Tax Tables'!$B$27)*'Tax Tables'!$B$28+MIN(MAX(MAX(H376,0)-'Tax Tables'!$B$27,0),'Tax Tables'!$B$29)*'Tax Tables'!$B$30,MIN(MAX(H376,0),'Tax Tables'!$B$23)*'Tax Tables'!$B$24+MIN(MAX(MAX(H376,0)-'Tax Tables'!$B$23,0),'Tax Tables'!$B$25)*'Tax Tables'!$B$26))*Calculator!$B$11,Calculator!$B$12)</f>
        <v>19720</v>
      </c>
      <c r="J376" s="11" t="n">
        <f aca="false">MAX(H376,0)-I376</f>
        <v>198780</v>
      </c>
      <c r="K376" s="11" t="n">
        <f aca="false">MIN(IF(A376&gt;0,Calculator!$B$13,0)+E376+Calculator!$B$14,'Tax Tables'!$B$36)</f>
        <v>1000</v>
      </c>
      <c r="L376" s="11" t="n">
        <f aca="false">MAX(A376-K376,0)</f>
        <v>180500</v>
      </c>
      <c r="M376" s="11" t="n">
        <f aca="false">SUMPRODUCT((L376&gt;'Tax Tables'!$A$5:$A$17)*(L376-'Tax Tables'!$A$5:$A$17)*'Tax Tables'!$C$5:$C$17)</f>
        <v>17640</v>
      </c>
      <c r="N376" s="11" t="n">
        <f aca="false">IF(H376&lt;0,-1E+099,A376-E376-M376+J376+(E376+F376)*Calculator!$B$9)</f>
        <v>362640</v>
      </c>
      <c r="O376" s="2"/>
      <c r="P376" s="11" t="n">
        <f aca="false">363*$B$3</f>
        <v>181500</v>
      </c>
      <c r="Q376" s="11" t="n">
        <f aca="false">MIN(P376,'Tax Tables'!$B$31*'Tax Tables'!$B$32)</f>
        <v>96000</v>
      </c>
      <c r="R376" s="11" t="n">
        <f aca="false">P376-Q376</f>
        <v>85500</v>
      </c>
      <c r="S376" s="11" t="n">
        <f aca="false">IF(Calculator!$B$6="Yes",MIN(Q376,'Tax Tables'!$B$31*'Tax Tables'!$B$32),0)</f>
        <v>96000</v>
      </c>
      <c r="T376" s="11" t="n">
        <f aca="false">S376*Calculator!$B$7</f>
        <v>19200</v>
      </c>
      <c r="U376" s="11" t="n">
        <f aca="false">S376*Calculator!$B$8</f>
        <v>16320</v>
      </c>
      <c r="V376" s="11" t="n">
        <f aca="false">IF(Q376&gt;0,'Tax Tables'!$B$32*MIN(MAX(Q376/'Tax Tables'!$B$32*'Tax Tables'!$B$33,'Tax Tables'!$B$34),'Tax Tables'!$B$35),0)</f>
        <v>135</v>
      </c>
      <c r="W376" s="11" t="n">
        <f aca="false">Calculator!$B$5-P376-U376-V376</f>
        <v>202045</v>
      </c>
      <c r="X376" s="11" t="n">
        <f aca="false">'Tax Tables'!$B$22*(MAX(W376,0)-IF(Calculator!$B$10="Yes",MIN(MAX(W376,0),'Tax Tables'!$B$27)*'Tax Tables'!$B$28+MIN(MAX(MAX(W376,0)-'Tax Tables'!$B$27,0),'Tax Tables'!$B$29)*'Tax Tables'!$B$30,MIN(MAX(W376,0),'Tax Tables'!$B$23)*'Tax Tables'!$B$24+MIN(MAX(MAX(W376,0)-'Tax Tables'!$B$23,0),'Tax Tables'!$B$25)*'Tax Tables'!$B$26))*1-MIN('Tax Tables'!$B$22*(MAX(W376,0)-IF(Calculator!$B$10="Yes",MIN(MAX(W376,0),'Tax Tables'!$B$27)*'Tax Tables'!$B$28+MIN(MAX(MAX(W376,0)-'Tax Tables'!$B$27,0),'Tax Tables'!$B$29)*'Tax Tables'!$B$30,MIN(MAX(W376,0),'Tax Tables'!$B$23)*'Tax Tables'!$B$24+MIN(MAX(MAX(W376,0)-'Tax Tables'!$B$23,0),'Tax Tables'!$B$25)*'Tax Tables'!$B$26))*Calculator!$B$11,Calculator!$B$12)</f>
        <v>16922.65</v>
      </c>
      <c r="Y376" s="11" t="n">
        <f aca="false">MAX(W376,0)-X376</f>
        <v>185122.35</v>
      </c>
      <c r="Z376" s="11" t="n">
        <f aca="false">MIN(IF(P376&gt;0,Calculator!$B$13,0)+T376+Calculator!$B$14,'Tax Tables'!$B$36)</f>
        <v>20200</v>
      </c>
      <c r="AA376" s="11" t="n">
        <f aca="false">MAX(P376-Z376,0)</f>
        <v>161300</v>
      </c>
      <c r="AB376" s="11" t="n">
        <f aca="false">SUMPRODUCT((AA376&gt;'Tax Tables'!$A$5:$A$17)*(AA376-'Tax Tables'!$A$5:$A$17)*'Tax Tables'!$C$5:$C$17)</f>
        <v>14184</v>
      </c>
      <c r="AC376" s="11" t="n">
        <f aca="false">IF(W376&lt;0,-1E+099,P376-T376-AB376+Y376+(T376+U376)*Calculator!$B$9)</f>
        <v>368758.35</v>
      </c>
    </row>
    <row r="377" customFormat="false" ht="15" hidden="false" customHeight="false" outlineLevel="0" collapsed="false">
      <c r="A377" s="11" t="n">
        <f aca="false">364*$B$3</f>
        <v>182000</v>
      </c>
      <c r="B377" s="11" t="n">
        <f aca="false">0</f>
        <v>0</v>
      </c>
      <c r="C377" s="11" t="n">
        <f aca="false">A377-B377</f>
        <v>182000</v>
      </c>
      <c r="D377" s="11" t="n">
        <f aca="false">IF(Calculator!$B$6="Yes",MIN(B377,'Tax Tables'!$B$31*'Tax Tables'!$B$32),0)</f>
        <v>0</v>
      </c>
      <c r="E377" s="11" t="n">
        <f aca="false">D377*Calculator!$B$7</f>
        <v>0</v>
      </c>
      <c r="F377" s="11" t="n">
        <f aca="false">D377*Calculator!$B$8</f>
        <v>0</v>
      </c>
      <c r="G377" s="11" t="n">
        <f aca="false">IF(B377&gt;0,'Tax Tables'!$B$32*MIN(MAX(B377/'Tax Tables'!$B$32*'Tax Tables'!$B$33,'Tax Tables'!$B$34),'Tax Tables'!$B$35),0)</f>
        <v>0</v>
      </c>
      <c r="H377" s="11" t="n">
        <f aca="false">Calculator!$B$5-A377-F377-G377</f>
        <v>218000</v>
      </c>
      <c r="I377" s="11" t="n">
        <f aca="false">'Tax Tables'!$B$22*(MAX(H377,0)-IF(Calculator!$B$10="Yes",MIN(MAX(H377,0),'Tax Tables'!$B$27)*'Tax Tables'!$B$28+MIN(MAX(MAX(H377,0)-'Tax Tables'!$B$27,0),'Tax Tables'!$B$29)*'Tax Tables'!$B$30,MIN(MAX(H377,0),'Tax Tables'!$B$23)*'Tax Tables'!$B$24+MIN(MAX(MAX(H377,0)-'Tax Tables'!$B$23,0),'Tax Tables'!$B$25)*'Tax Tables'!$B$26))*1-MIN('Tax Tables'!$B$22*(MAX(H377,0)-IF(Calculator!$B$10="Yes",MIN(MAX(H377,0),'Tax Tables'!$B$27)*'Tax Tables'!$B$28+MIN(MAX(MAX(H377,0)-'Tax Tables'!$B$27,0),'Tax Tables'!$B$29)*'Tax Tables'!$B$30,MIN(MAX(H377,0),'Tax Tables'!$B$23)*'Tax Tables'!$B$24+MIN(MAX(MAX(H377,0)-'Tax Tables'!$B$23,0),'Tax Tables'!$B$25)*'Tax Tables'!$B$26))*Calculator!$B$11,Calculator!$B$12)</f>
        <v>19635</v>
      </c>
      <c r="J377" s="11" t="n">
        <f aca="false">MAX(H377,0)-I377</f>
        <v>198365</v>
      </c>
      <c r="K377" s="11" t="n">
        <f aca="false">MIN(IF(A377&gt;0,Calculator!$B$13,0)+E377+Calculator!$B$14,'Tax Tables'!$B$36)</f>
        <v>1000</v>
      </c>
      <c r="L377" s="11" t="n">
        <f aca="false">MAX(A377-K377,0)</f>
        <v>181000</v>
      </c>
      <c r="M377" s="11" t="n">
        <f aca="false">SUMPRODUCT((L377&gt;'Tax Tables'!$A$5:$A$17)*(L377-'Tax Tables'!$A$5:$A$17)*'Tax Tables'!$C$5:$C$17)</f>
        <v>17730</v>
      </c>
      <c r="N377" s="11" t="n">
        <f aca="false">IF(H377&lt;0,-1E+099,A377-E377-M377+J377+(E377+F377)*Calculator!$B$9)</f>
        <v>362635</v>
      </c>
      <c r="O377" s="2"/>
      <c r="P377" s="11" t="n">
        <f aca="false">364*$B$3</f>
        <v>182000</v>
      </c>
      <c r="Q377" s="11" t="n">
        <f aca="false">MIN(P377,'Tax Tables'!$B$31*'Tax Tables'!$B$32)</f>
        <v>96000</v>
      </c>
      <c r="R377" s="11" t="n">
        <f aca="false">P377-Q377</f>
        <v>86000</v>
      </c>
      <c r="S377" s="11" t="n">
        <f aca="false">IF(Calculator!$B$6="Yes",MIN(Q377,'Tax Tables'!$B$31*'Tax Tables'!$B$32),0)</f>
        <v>96000</v>
      </c>
      <c r="T377" s="11" t="n">
        <f aca="false">S377*Calculator!$B$7</f>
        <v>19200</v>
      </c>
      <c r="U377" s="11" t="n">
        <f aca="false">S377*Calculator!$B$8</f>
        <v>16320</v>
      </c>
      <c r="V377" s="11" t="n">
        <f aca="false">IF(Q377&gt;0,'Tax Tables'!$B$32*MIN(MAX(Q377/'Tax Tables'!$B$32*'Tax Tables'!$B$33,'Tax Tables'!$B$34),'Tax Tables'!$B$35),0)</f>
        <v>135</v>
      </c>
      <c r="W377" s="11" t="n">
        <f aca="false">Calculator!$B$5-P377-U377-V377</f>
        <v>201545</v>
      </c>
      <c r="X377" s="11" t="n">
        <f aca="false">'Tax Tables'!$B$22*(MAX(W377,0)-IF(Calculator!$B$10="Yes",MIN(MAX(W377,0),'Tax Tables'!$B$27)*'Tax Tables'!$B$28+MIN(MAX(MAX(W377,0)-'Tax Tables'!$B$27,0),'Tax Tables'!$B$29)*'Tax Tables'!$B$30,MIN(MAX(W377,0),'Tax Tables'!$B$23)*'Tax Tables'!$B$24+MIN(MAX(MAX(W377,0)-'Tax Tables'!$B$23,0),'Tax Tables'!$B$25)*'Tax Tables'!$B$26))*1-MIN('Tax Tables'!$B$22*(MAX(W377,0)-IF(Calculator!$B$10="Yes",MIN(MAX(W377,0),'Tax Tables'!$B$27)*'Tax Tables'!$B$28+MIN(MAX(MAX(W377,0)-'Tax Tables'!$B$27,0),'Tax Tables'!$B$29)*'Tax Tables'!$B$30,MIN(MAX(W377,0),'Tax Tables'!$B$23)*'Tax Tables'!$B$24+MIN(MAX(MAX(W377,0)-'Tax Tables'!$B$23,0),'Tax Tables'!$B$25)*'Tax Tables'!$B$26))*Calculator!$B$11,Calculator!$B$12)</f>
        <v>16837.65</v>
      </c>
      <c r="Y377" s="11" t="n">
        <f aca="false">MAX(W377,0)-X377</f>
        <v>184707.35</v>
      </c>
      <c r="Z377" s="11" t="n">
        <f aca="false">MIN(IF(P377&gt;0,Calculator!$B$13,0)+T377+Calculator!$B$14,'Tax Tables'!$B$36)</f>
        <v>20200</v>
      </c>
      <c r="AA377" s="11" t="n">
        <f aca="false">MAX(P377-Z377,0)</f>
        <v>161800</v>
      </c>
      <c r="AB377" s="11" t="n">
        <f aca="false">SUMPRODUCT((AA377&gt;'Tax Tables'!$A$5:$A$17)*(AA377-'Tax Tables'!$A$5:$A$17)*'Tax Tables'!$C$5:$C$17)</f>
        <v>14274</v>
      </c>
      <c r="AC377" s="11" t="n">
        <f aca="false">IF(W377&lt;0,-1E+099,P377-T377-AB377+Y377+(T377+U377)*Calculator!$B$9)</f>
        <v>368753.35</v>
      </c>
    </row>
    <row r="378" customFormat="false" ht="15" hidden="false" customHeight="false" outlineLevel="0" collapsed="false">
      <c r="A378" s="11" t="n">
        <f aca="false">365*$B$3</f>
        <v>182500</v>
      </c>
      <c r="B378" s="11" t="n">
        <f aca="false">0</f>
        <v>0</v>
      </c>
      <c r="C378" s="11" t="n">
        <f aca="false">A378-B378</f>
        <v>182500</v>
      </c>
      <c r="D378" s="11" t="n">
        <f aca="false">IF(Calculator!$B$6="Yes",MIN(B378,'Tax Tables'!$B$31*'Tax Tables'!$B$32),0)</f>
        <v>0</v>
      </c>
      <c r="E378" s="11" t="n">
        <f aca="false">D378*Calculator!$B$7</f>
        <v>0</v>
      </c>
      <c r="F378" s="11" t="n">
        <f aca="false">D378*Calculator!$B$8</f>
        <v>0</v>
      </c>
      <c r="G378" s="11" t="n">
        <f aca="false">IF(B378&gt;0,'Tax Tables'!$B$32*MIN(MAX(B378/'Tax Tables'!$B$32*'Tax Tables'!$B$33,'Tax Tables'!$B$34),'Tax Tables'!$B$35),0)</f>
        <v>0</v>
      </c>
      <c r="H378" s="11" t="n">
        <f aca="false">Calculator!$B$5-A378-F378-G378</f>
        <v>217500</v>
      </c>
      <c r="I378" s="11" t="n">
        <f aca="false">'Tax Tables'!$B$22*(MAX(H378,0)-IF(Calculator!$B$10="Yes",MIN(MAX(H378,0),'Tax Tables'!$B$27)*'Tax Tables'!$B$28+MIN(MAX(MAX(H378,0)-'Tax Tables'!$B$27,0),'Tax Tables'!$B$29)*'Tax Tables'!$B$30,MIN(MAX(H378,0),'Tax Tables'!$B$23)*'Tax Tables'!$B$24+MIN(MAX(MAX(H378,0)-'Tax Tables'!$B$23,0),'Tax Tables'!$B$25)*'Tax Tables'!$B$26))*1-MIN('Tax Tables'!$B$22*(MAX(H378,0)-IF(Calculator!$B$10="Yes",MIN(MAX(H378,0),'Tax Tables'!$B$27)*'Tax Tables'!$B$28+MIN(MAX(MAX(H378,0)-'Tax Tables'!$B$27,0),'Tax Tables'!$B$29)*'Tax Tables'!$B$30,MIN(MAX(H378,0),'Tax Tables'!$B$23)*'Tax Tables'!$B$24+MIN(MAX(MAX(H378,0)-'Tax Tables'!$B$23,0),'Tax Tables'!$B$25)*'Tax Tables'!$B$26))*Calculator!$B$11,Calculator!$B$12)</f>
        <v>19550</v>
      </c>
      <c r="J378" s="11" t="n">
        <f aca="false">MAX(H378,0)-I378</f>
        <v>197950</v>
      </c>
      <c r="K378" s="11" t="n">
        <f aca="false">MIN(IF(A378&gt;0,Calculator!$B$13,0)+E378+Calculator!$B$14,'Tax Tables'!$B$36)</f>
        <v>1000</v>
      </c>
      <c r="L378" s="11" t="n">
        <f aca="false">MAX(A378-K378,0)</f>
        <v>181500</v>
      </c>
      <c r="M378" s="11" t="n">
        <f aca="false">SUMPRODUCT((L378&gt;'Tax Tables'!$A$5:$A$17)*(L378-'Tax Tables'!$A$5:$A$17)*'Tax Tables'!$C$5:$C$17)</f>
        <v>17820</v>
      </c>
      <c r="N378" s="11" t="n">
        <f aca="false">IF(H378&lt;0,-1E+099,A378-E378-M378+J378+(E378+F378)*Calculator!$B$9)</f>
        <v>362630</v>
      </c>
      <c r="O378" s="2"/>
      <c r="P378" s="11" t="n">
        <f aca="false">365*$B$3</f>
        <v>182500</v>
      </c>
      <c r="Q378" s="11" t="n">
        <f aca="false">MIN(P378,'Tax Tables'!$B$31*'Tax Tables'!$B$32)</f>
        <v>96000</v>
      </c>
      <c r="R378" s="11" t="n">
        <f aca="false">P378-Q378</f>
        <v>86500</v>
      </c>
      <c r="S378" s="11" t="n">
        <f aca="false">IF(Calculator!$B$6="Yes",MIN(Q378,'Tax Tables'!$B$31*'Tax Tables'!$B$32),0)</f>
        <v>96000</v>
      </c>
      <c r="T378" s="11" t="n">
        <f aca="false">S378*Calculator!$B$7</f>
        <v>19200</v>
      </c>
      <c r="U378" s="11" t="n">
        <f aca="false">S378*Calculator!$B$8</f>
        <v>16320</v>
      </c>
      <c r="V378" s="11" t="n">
        <f aca="false">IF(Q378&gt;0,'Tax Tables'!$B$32*MIN(MAX(Q378/'Tax Tables'!$B$32*'Tax Tables'!$B$33,'Tax Tables'!$B$34),'Tax Tables'!$B$35),0)</f>
        <v>135</v>
      </c>
      <c r="W378" s="11" t="n">
        <f aca="false">Calculator!$B$5-P378-U378-V378</f>
        <v>201045</v>
      </c>
      <c r="X378" s="11" t="n">
        <f aca="false">'Tax Tables'!$B$22*(MAX(W378,0)-IF(Calculator!$B$10="Yes",MIN(MAX(W378,0),'Tax Tables'!$B$27)*'Tax Tables'!$B$28+MIN(MAX(MAX(W378,0)-'Tax Tables'!$B$27,0),'Tax Tables'!$B$29)*'Tax Tables'!$B$30,MIN(MAX(W378,0),'Tax Tables'!$B$23)*'Tax Tables'!$B$24+MIN(MAX(MAX(W378,0)-'Tax Tables'!$B$23,0),'Tax Tables'!$B$25)*'Tax Tables'!$B$26))*1-MIN('Tax Tables'!$B$22*(MAX(W378,0)-IF(Calculator!$B$10="Yes",MIN(MAX(W378,0),'Tax Tables'!$B$27)*'Tax Tables'!$B$28+MIN(MAX(MAX(W378,0)-'Tax Tables'!$B$27,0),'Tax Tables'!$B$29)*'Tax Tables'!$B$30,MIN(MAX(W378,0),'Tax Tables'!$B$23)*'Tax Tables'!$B$24+MIN(MAX(MAX(W378,0)-'Tax Tables'!$B$23,0),'Tax Tables'!$B$25)*'Tax Tables'!$B$26))*Calculator!$B$11,Calculator!$B$12)</f>
        <v>16752.65</v>
      </c>
      <c r="Y378" s="11" t="n">
        <f aca="false">MAX(W378,0)-X378</f>
        <v>184292.35</v>
      </c>
      <c r="Z378" s="11" t="n">
        <f aca="false">MIN(IF(P378&gt;0,Calculator!$B$13,0)+T378+Calculator!$B$14,'Tax Tables'!$B$36)</f>
        <v>20200</v>
      </c>
      <c r="AA378" s="11" t="n">
        <f aca="false">MAX(P378-Z378,0)</f>
        <v>162300</v>
      </c>
      <c r="AB378" s="11" t="n">
        <f aca="false">SUMPRODUCT((AA378&gt;'Tax Tables'!$A$5:$A$17)*(AA378-'Tax Tables'!$A$5:$A$17)*'Tax Tables'!$C$5:$C$17)</f>
        <v>14364</v>
      </c>
      <c r="AC378" s="11" t="n">
        <f aca="false">IF(W378&lt;0,-1E+099,P378-T378-AB378+Y378+(T378+U378)*Calculator!$B$9)</f>
        <v>368748.35</v>
      </c>
    </row>
    <row r="379" customFormat="false" ht="15" hidden="false" customHeight="false" outlineLevel="0" collapsed="false">
      <c r="A379" s="11" t="n">
        <f aca="false">366*$B$3</f>
        <v>183000</v>
      </c>
      <c r="B379" s="11" t="n">
        <f aca="false">0</f>
        <v>0</v>
      </c>
      <c r="C379" s="11" t="n">
        <f aca="false">A379-B379</f>
        <v>183000</v>
      </c>
      <c r="D379" s="11" t="n">
        <f aca="false">IF(Calculator!$B$6="Yes",MIN(B379,'Tax Tables'!$B$31*'Tax Tables'!$B$32),0)</f>
        <v>0</v>
      </c>
      <c r="E379" s="11" t="n">
        <f aca="false">D379*Calculator!$B$7</f>
        <v>0</v>
      </c>
      <c r="F379" s="11" t="n">
        <f aca="false">D379*Calculator!$B$8</f>
        <v>0</v>
      </c>
      <c r="G379" s="11" t="n">
        <f aca="false">IF(B379&gt;0,'Tax Tables'!$B$32*MIN(MAX(B379/'Tax Tables'!$B$32*'Tax Tables'!$B$33,'Tax Tables'!$B$34),'Tax Tables'!$B$35),0)</f>
        <v>0</v>
      </c>
      <c r="H379" s="11" t="n">
        <f aca="false">Calculator!$B$5-A379-F379-G379</f>
        <v>217000</v>
      </c>
      <c r="I379" s="11" t="n">
        <f aca="false">'Tax Tables'!$B$22*(MAX(H379,0)-IF(Calculator!$B$10="Yes",MIN(MAX(H379,0),'Tax Tables'!$B$27)*'Tax Tables'!$B$28+MIN(MAX(MAX(H379,0)-'Tax Tables'!$B$27,0),'Tax Tables'!$B$29)*'Tax Tables'!$B$30,MIN(MAX(H379,0),'Tax Tables'!$B$23)*'Tax Tables'!$B$24+MIN(MAX(MAX(H379,0)-'Tax Tables'!$B$23,0),'Tax Tables'!$B$25)*'Tax Tables'!$B$26))*1-MIN('Tax Tables'!$B$22*(MAX(H379,0)-IF(Calculator!$B$10="Yes",MIN(MAX(H379,0),'Tax Tables'!$B$27)*'Tax Tables'!$B$28+MIN(MAX(MAX(H379,0)-'Tax Tables'!$B$27,0),'Tax Tables'!$B$29)*'Tax Tables'!$B$30,MIN(MAX(H379,0),'Tax Tables'!$B$23)*'Tax Tables'!$B$24+MIN(MAX(MAX(H379,0)-'Tax Tables'!$B$23,0),'Tax Tables'!$B$25)*'Tax Tables'!$B$26))*Calculator!$B$11,Calculator!$B$12)</f>
        <v>19465</v>
      </c>
      <c r="J379" s="11" t="n">
        <f aca="false">MAX(H379,0)-I379</f>
        <v>197535</v>
      </c>
      <c r="K379" s="11" t="n">
        <f aca="false">MIN(IF(A379&gt;0,Calculator!$B$13,0)+E379+Calculator!$B$14,'Tax Tables'!$B$36)</f>
        <v>1000</v>
      </c>
      <c r="L379" s="11" t="n">
        <f aca="false">MAX(A379-K379,0)</f>
        <v>182000</v>
      </c>
      <c r="M379" s="11" t="n">
        <f aca="false">SUMPRODUCT((L379&gt;'Tax Tables'!$A$5:$A$17)*(L379-'Tax Tables'!$A$5:$A$17)*'Tax Tables'!$C$5:$C$17)</f>
        <v>17910</v>
      </c>
      <c r="N379" s="11" t="n">
        <f aca="false">IF(H379&lt;0,-1E+099,A379-E379-M379+J379+(E379+F379)*Calculator!$B$9)</f>
        <v>362625</v>
      </c>
      <c r="O379" s="2"/>
      <c r="P379" s="11" t="n">
        <f aca="false">366*$B$3</f>
        <v>183000</v>
      </c>
      <c r="Q379" s="11" t="n">
        <f aca="false">MIN(P379,'Tax Tables'!$B$31*'Tax Tables'!$B$32)</f>
        <v>96000</v>
      </c>
      <c r="R379" s="11" t="n">
        <f aca="false">P379-Q379</f>
        <v>87000</v>
      </c>
      <c r="S379" s="11" t="n">
        <f aca="false">IF(Calculator!$B$6="Yes",MIN(Q379,'Tax Tables'!$B$31*'Tax Tables'!$B$32),0)</f>
        <v>96000</v>
      </c>
      <c r="T379" s="11" t="n">
        <f aca="false">S379*Calculator!$B$7</f>
        <v>19200</v>
      </c>
      <c r="U379" s="11" t="n">
        <f aca="false">S379*Calculator!$B$8</f>
        <v>16320</v>
      </c>
      <c r="V379" s="11" t="n">
        <f aca="false">IF(Q379&gt;0,'Tax Tables'!$B$32*MIN(MAX(Q379/'Tax Tables'!$B$32*'Tax Tables'!$B$33,'Tax Tables'!$B$34),'Tax Tables'!$B$35),0)</f>
        <v>135</v>
      </c>
      <c r="W379" s="11" t="n">
        <f aca="false">Calculator!$B$5-P379-U379-V379</f>
        <v>200545</v>
      </c>
      <c r="X379" s="11" t="n">
        <f aca="false">'Tax Tables'!$B$22*(MAX(W379,0)-IF(Calculator!$B$10="Yes",MIN(MAX(W379,0),'Tax Tables'!$B$27)*'Tax Tables'!$B$28+MIN(MAX(MAX(W379,0)-'Tax Tables'!$B$27,0),'Tax Tables'!$B$29)*'Tax Tables'!$B$30,MIN(MAX(W379,0),'Tax Tables'!$B$23)*'Tax Tables'!$B$24+MIN(MAX(MAX(W379,0)-'Tax Tables'!$B$23,0),'Tax Tables'!$B$25)*'Tax Tables'!$B$26))*1-MIN('Tax Tables'!$B$22*(MAX(W379,0)-IF(Calculator!$B$10="Yes",MIN(MAX(W379,0),'Tax Tables'!$B$27)*'Tax Tables'!$B$28+MIN(MAX(MAX(W379,0)-'Tax Tables'!$B$27,0),'Tax Tables'!$B$29)*'Tax Tables'!$B$30,MIN(MAX(W379,0),'Tax Tables'!$B$23)*'Tax Tables'!$B$24+MIN(MAX(MAX(W379,0)-'Tax Tables'!$B$23,0),'Tax Tables'!$B$25)*'Tax Tables'!$B$26))*Calculator!$B$11,Calculator!$B$12)</f>
        <v>16667.65</v>
      </c>
      <c r="Y379" s="11" t="n">
        <f aca="false">MAX(W379,0)-X379</f>
        <v>183877.35</v>
      </c>
      <c r="Z379" s="11" t="n">
        <f aca="false">MIN(IF(P379&gt;0,Calculator!$B$13,0)+T379+Calculator!$B$14,'Tax Tables'!$B$36)</f>
        <v>20200</v>
      </c>
      <c r="AA379" s="11" t="n">
        <f aca="false">MAX(P379-Z379,0)</f>
        <v>162800</v>
      </c>
      <c r="AB379" s="11" t="n">
        <f aca="false">SUMPRODUCT((AA379&gt;'Tax Tables'!$A$5:$A$17)*(AA379-'Tax Tables'!$A$5:$A$17)*'Tax Tables'!$C$5:$C$17)</f>
        <v>14454</v>
      </c>
      <c r="AC379" s="11" t="n">
        <f aca="false">IF(W379&lt;0,-1E+099,P379-T379-AB379+Y379+(T379+U379)*Calculator!$B$9)</f>
        <v>368743.35</v>
      </c>
    </row>
    <row r="380" customFormat="false" ht="15" hidden="false" customHeight="false" outlineLevel="0" collapsed="false">
      <c r="A380" s="11" t="n">
        <f aca="false">367*$B$3</f>
        <v>183500</v>
      </c>
      <c r="B380" s="11" t="n">
        <f aca="false">0</f>
        <v>0</v>
      </c>
      <c r="C380" s="11" t="n">
        <f aca="false">A380-B380</f>
        <v>183500</v>
      </c>
      <c r="D380" s="11" t="n">
        <f aca="false">IF(Calculator!$B$6="Yes",MIN(B380,'Tax Tables'!$B$31*'Tax Tables'!$B$32),0)</f>
        <v>0</v>
      </c>
      <c r="E380" s="11" t="n">
        <f aca="false">D380*Calculator!$B$7</f>
        <v>0</v>
      </c>
      <c r="F380" s="11" t="n">
        <f aca="false">D380*Calculator!$B$8</f>
        <v>0</v>
      </c>
      <c r="G380" s="11" t="n">
        <f aca="false">IF(B380&gt;0,'Tax Tables'!$B$32*MIN(MAX(B380/'Tax Tables'!$B$32*'Tax Tables'!$B$33,'Tax Tables'!$B$34),'Tax Tables'!$B$35),0)</f>
        <v>0</v>
      </c>
      <c r="H380" s="11" t="n">
        <f aca="false">Calculator!$B$5-A380-F380-G380</f>
        <v>216500</v>
      </c>
      <c r="I380" s="11" t="n">
        <f aca="false">'Tax Tables'!$B$22*(MAX(H380,0)-IF(Calculator!$B$10="Yes",MIN(MAX(H380,0),'Tax Tables'!$B$27)*'Tax Tables'!$B$28+MIN(MAX(MAX(H380,0)-'Tax Tables'!$B$27,0),'Tax Tables'!$B$29)*'Tax Tables'!$B$30,MIN(MAX(H380,0),'Tax Tables'!$B$23)*'Tax Tables'!$B$24+MIN(MAX(MAX(H380,0)-'Tax Tables'!$B$23,0),'Tax Tables'!$B$25)*'Tax Tables'!$B$26))*1-MIN('Tax Tables'!$B$22*(MAX(H380,0)-IF(Calculator!$B$10="Yes",MIN(MAX(H380,0),'Tax Tables'!$B$27)*'Tax Tables'!$B$28+MIN(MAX(MAX(H380,0)-'Tax Tables'!$B$27,0),'Tax Tables'!$B$29)*'Tax Tables'!$B$30,MIN(MAX(H380,0),'Tax Tables'!$B$23)*'Tax Tables'!$B$24+MIN(MAX(MAX(H380,0)-'Tax Tables'!$B$23,0),'Tax Tables'!$B$25)*'Tax Tables'!$B$26))*Calculator!$B$11,Calculator!$B$12)</f>
        <v>19380</v>
      </c>
      <c r="J380" s="11" t="n">
        <f aca="false">MAX(H380,0)-I380</f>
        <v>197120</v>
      </c>
      <c r="K380" s="11" t="n">
        <f aca="false">MIN(IF(A380&gt;0,Calculator!$B$13,0)+E380+Calculator!$B$14,'Tax Tables'!$B$36)</f>
        <v>1000</v>
      </c>
      <c r="L380" s="11" t="n">
        <f aca="false">MAX(A380-K380,0)</f>
        <v>182500</v>
      </c>
      <c r="M380" s="11" t="n">
        <f aca="false">SUMPRODUCT((L380&gt;'Tax Tables'!$A$5:$A$17)*(L380-'Tax Tables'!$A$5:$A$17)*'Tax Tables'!$C$5:$C$17)</f>
        <v>18000</v>
      </c>
      <c r="N380" s="11" t="n">
        <f aca="false">IF(H380&lt;0,-1E+099,A380-E380-M380+J380+(E380+F380)*Calculator!$B$9)</f>
        <v>362620</v>
      </c>
      <c r="O380" s="2"/>
      <c r="P380" s="11" t="n">
        <f aca="false">367*$B$3</f>
        <v>183500</v>
      </c>
      <c r="Q380" s="11" t="n">
        <f aca="false">MIN(P380,'Tax Tables'!$B$31*'Tax Tables'!$B$32)</f>
        <v>96000</v>
      </c>
      <c r="R380" s="11" t="n">
        <f aca="false">P380-Q380</f>
        <v>87500</v>
      </c>
      <c r="S380" s="11" t="n">
        <f aca="false">IF(Calculator!$B$6="Yes",MIN(Q380,'Tax Tables'!$B$31*'Tax Tables'!$B$32),0)</f>
        <v>96000</v>
      </c>
      <c r="T380" s="11" t="n">
        <f aca="false">S380*Calculator!$B$7</f>
        <v>19200</v>
      </c>
      <c r="U380" s="11" t="n">
        <f aca="false">S380*Calculator!$B$8</f>
        <v>16320</v>
      </c>
      <c r="V380" s="11" t="n">
        <f aca="false">IF(Q380&gt;0,'Tax Tables'!$B$32*MIN(MAX(Q380/'Tax Tables'!$B$32*'Tax Tables'!$B$33,'Tax Tables'!$B$34),'Tax Tables'!$B$35),0)</f>
        <v>135</v>
      </c>
      <c r="W380" s="11" t="n">
        <f aca="false">Calculator!$B$5-P380-U380-V380</f>
        <v>200045</v>
      </c>
      <c r="X380" s="11" t="n">
        <f aca="false">'Tax Tables'!$B$22*(MAX(W380,0)-IF(Calculator!$B$10="Yes",MIN(MAX(W380,0),'Tax Tables'!$B$27)*'Tax Tables'!$B$28+MIN(MAX(MAX(W380,0)-'Tax Tables'!$B$27,0),'Tax Tables'!$B$29)*'Tax Tables'!$B$30,MIN(MAX(W380,0),'Tax Tables'!$B$23)*'Tax Tables'!$B$24+MIN(MAX(MAX(W380,0)-'Tax Tables'!$B$23,0),'Tax Tables'!$B$25)*'Tax Tables'!$B$26))*1-MIN('Tax Tables'!$B$22*(MAX(W380,0)-IF(Calculator!$B$10="Yes",MIN(MAX(W380,0),'Tax Tables'!$B$27)*'Tax Tables'!$B$28+MIN(MAX(MAX(W380,0)-'Tax Tables'!$B$27,0),'Tax Tables'!$B$29)*'Tax Tables'!$B$30,MIN(MAX(W380,0),'Tax Tables'!$B$23)*'Tax Tables'!$B$24+MIN(MAX(MAX(W380,0)-'Tax Tables'!$B$23,0),'Tax Tables'!$B$25)*'Tax Tables'!$B$26))*Calculator!$B$11,Calculator!$B$12)</f>
        <v>16582.65</v>
      </c>
      <c r="Y380" s="11" t="n">
        <f aca="false">MAX(W380,0)-X380</f>
        <v>183462.35</v>
      </c>
      <c r="Z380" s="11" t="n">
        <f aca="false">MIN(IF(P380&gt;0,Calculator!$B$13,0)+T380+Calculator!$B$14,'Tax Tables'!$B$36)</f>
        <v>20200</v>
      </c>
      <c r="AA380" s="11" t="n">
        <f aca="false">MAX(P380-Z380,0)</f>
        <v>163300</v>
      </c>
      <c r="AB380" s="11" t="n">
        <f aca="false">SUMPRODUCT((AA380&gt;'Tax Tables'!$A$5:$A$17)*(AA380-'Tax Tables'!$A$5:$A$17)*'Tax Tables'!$C$5:$C$17)</f>
        <v>14544</v>
      </c>
      <c r="AC380" s="11" t="n">
        <f aca="false">IF(W380&lt;0,-1E+099,P380-T380-AB380+Y380+(T380+U380)*Calculator!$B$9)</f>
        <v>368738.35</v>
      </c>
    </row>
    <row r="381" customFormat="false" ht="15" hidden="false" customHeight="false" outlineLevel="0" collapsed="false">
      <c r="A381" s="11" t="n">
        <f aca="false">368*$B$3</f>
        <v>184000</v>
      </c>
      <c r="B381" s="11" t="n">
        <f aca="false">0</f>
        <v>0</v>
      </c>
      <c r="C381" s="11" t="n">
        <f aca="false">A381-B381</f>
        <v>184000</v>
      </c>
      <c r="D381" s="11" t="n">
        <f aca="false">IF(Calculator!$B$6="Yes",MIN(B381,'Tax Tables'!$B$31*'Tax Tables'!$B$32),0)</f>
        <v>0</v>
      </c>
      <c r="E381" s="11" t="n">
        <f aca="false">D381*Calculator!$B$7</f>
        <v>0</v>
      </c>
      <c r="F381" s="11" t="n">
        <f aca="false">D381*Calculator!$B$8</f>
        <v>0</v>
      </c>
      <c r="G381" s="11" t="n">
        <f aca="false">IF(B381&gt;0,'Tax Tables'!$B$32*MIN(MAX(B381/'Tax Tables'!$B$32*'Tax Tables'!$B$33,'Tax Tables'!$B$34),'Tax Tables'!$B$35),0)</f>
        <v>0</v>
      </c>
      <c r="H381" s="11" t="n">
        <f aca="false">Calculator!$B$5-A381-F381-G381</f>
        <v>216000</v>
      </c>
      <c r="I381" s="11" t="n">
        <f aca="false">'Tax Tables'!$B$22*(MAX(H381,0)-IF(Calculator!$B$10="Yes",MIN(MAX(H381,0),'Tax Tables'!$B$27)*'Tax Tables'!$B$28+MIN(MAX(MAX(H381,0)-'Tax Tables'!$B$27,0),'Tax Tables'!$B$29)*'Tax Tables'!$B$30,MIN(MAX(H381,0),'Tax Tables'!$B$23)*'Tax Tables'!$B$24+MIN(MAX(MAX(H381,0)-'Tax Tables'!$B$23,0),'Tax Tables'!$B$25)*'Tax Tables'!$B$26))*1-MIN('Tax Tables'!$B$22*(MAX(H381,0)-IF(Calculator!$B$10="Yes",MIN(MAX(H381,0),'Tax Tables'!$B$27)*'Tax Tables'!$B$28+MIN(MAX(MAX(H381,0)-'Tax Tables'!$B$27,0),'Tax Tables'!$B$29)*'Tax Tables'!$B$30,MIN(MAX(H381,0),'Tax Tables'!$B$23)*'Tax Tables'!$B$24+MIN(MAX(MAX(H381,0)-'Tax Tables'!$B$23,0),'Tax Tables'!$B$25)*'Tax Tables'!$B$26))*Calculator!$B$11,Calculator!$B$12)</f>
        <v>19295</v>
      </c>
      <c r="J381" s="11" t="n">
        <f aca="false">MAX(H381,0)-I381</f>
        <v>196705</v>
      </c>
      <c r="K381" s="11" t="n">
        <f aca="false">MIN(IF(A381&gt;0,Calculator!$B$13,0)+E381+Calculator!$B$14,'Tax Tables'!$B$36)</f>
        <v>1000</v>
      </c>
      <c r="L381" s="11" t="n">
        <f aca="false">MAX(A381-K381,0)</f>
        <v>183000</v>
      </c>
      <c r="M381" s="11" t="n">
        <f aca="false">SUMPRODUCT((L381&gt;'Tax Tables'!$A$5:$A$17)*(L381-'Tax Tables'!$A$5:$A$17)*'Tax Tables'!$C$5:$C$17)</f>
        <v>18090</v>
      </c>
      <c r="N381" s="11" t="n">
        <f aca="false">IF(H381&lt;0,-1E+099,A381-E381-M381+J381+(E381+F381)*Calculator!$B$9)</f>
        <v>362615</v>
      </c>
      <c r="O381" s="2"/>
      <c r="P381" s="11" t="n">
        <f aca="false">368*$B$3</f>
        <v>184000</v>
      </c>
      <c r="Q381" s="11" t="n">
        <f aca="false">MIN(P381,'Tax Tables'!$B$31*'Tax Tables'!$B$32)</f>
        <v>96000</v>
      </c>
      <c r="R381" s="11" t="n">
        <f aca="false">P381-Q381</f>
        <v>88000</v>
      </c>
      <c r="S381" s="11" t="n">
        <f aca="false">IF(Calculator!$B$6="Yes",MIN(Q381,'Tax Tables'!$B$31*'Tax Tables'!$B$32),0)</f>
        <v>96000</v>
      </c>
      <c r="T381" s="11" t="n">
        <f aca="false">S381*Calculator!$B$7</f>
        <v>19200</v>
      </c>
      <c r="U381" s="11" t="n">
        <f aca="false">S381*Calculator!$B$8</f>
        <v>16320</v>
      </c>
      <c r="V381" s="11" t="n">
        <f aca="false">IF(Q381&gt;0,'Tax Tables'!$B$32*MIN(MAX(Q381/'Tax Tables'!$B$32*'Tax Tables'!$B$33,'Tax Tables'!$B$34),'Tax Tables'!$B$35),0)</f>
        <v>135</v>
      </c>
      <c r="W381" s="11" t="n">
        <f aca="false">Calculator!$B$5-P381-U381-V381</f>
        <v>199545</v>
      </c>
      <c r="X381" s="11" t="n">
        <f aca="false">'Tax Tables'!$B$22*(MAX(W381,0)-IF(Calculator!$B$10="Yes",MIN(MAX(W381,0),'Tax Tables'!$B$27)*'Tax Tables'!$B$28+MIN(MAX(MAX(W381,0)-'Tax Tables'!$B$27,0),'Tax Tables'!$B$29)*'Tax Tables'!$B$30,MIN(MAX(W381,0),'Tax Tables'!$B$23)*'Tax Tables'!$B$24+MIN(MAX(MAX(W381,0)-'Tax Tables'!$B$23,0),'Tax Tables'!$B$25)*'Tax Tables'!$B$26))*1-MIN('Tax Tables'!$B$22*(MAX(W381,0)-IF(Calculator!$B$10="Yes",MIN(MAX(W381,0),'Tax Tables'!$B$27)*'Tax Tables'!$B$28+MIN(MAX(MAX(W381,0)-'Tax Tables'!$B$27,0),'Tax Tables'!$B$29)*'Tax Tables'!$B$30,MIN(MAX(W381,0),'Tax Tables'!$B$23)*'Tax Tables'!$B$24+MIN(MAX(MAX(W381,0)-'Tax Tables'!$B$23,0),'Tax Tables'!$B$25)*'Tax Tables'!$B$26))*Calculator!$B$11,Calculator!$B$12)</f>
        <v>16536.325</v>
      </c>
      <c r="Y381" s="11" t="n">
        <f aca="false">MAX(W381,0)-X381</f>
        <v>183008.675</v>
      </c>
      <c r="Z381" s="11" t="n">
        <f aca="false">MIN(IF(P381&gt;0,Calculator!$B$13,0)+T381+Calculator!$B$14,'Tax Tables'!$B$36)</f>
        <v>20200</v>
      </c>
      <c r="AA381" s="11" t="n">
        <f aca="false">MAX(P381-Z381,0)</f>
        <v>163800</v>
      </c>
      <c r="AB381" s="11" t="n">
        <f aca="false">SUMPRODUCT((AA381&gt;'Tax Tables'!$A$5:$A$17)*(AA381-'Tax Tables'!$A$5:$A$17)*'Tax Tables'!$C$5:$C$17)</f>
        <v>14634</v>
      </c>
      <c r="AC381" s="11" t="n">
        <f aca="false">IF(W381&lt;0,-1E+099,P381-T381-AB381+Y381+(T381+U381)*Calculator!$B$9)</f>
        <v>368694.675</v>
      </c>
    </row>
    <row r="382" customFormat="false" ht="15" hidden="false" customHeight="false" outlineLevel="0" collapsed="false">
      <c r="A382" s="11" t="n">
        <f aca="false">369*$B$3</f>
        <v>184500</v>
      </c>
      <c r="B382" s="11" t="n">
        <f aca="false">0</f>
        <v>0</v>
      </c>
      <c r="C382" s="11" t="n">
        <f aca="false">A382-B382</f>
        <v>184500</v>
      </c>
      <c r="D382" s="11" t="n">
        <f aca="false">IF(Calculator!$B$6="Yes",MIN(B382,'Tax Tables'!$B$31*'Tax Tables'!$B$32),0)</f>
        <v>0</v>
      </c>
      <c r="E382" s="11" t="n">
        <f aca="false">D382*Calculator!$B$7</f>
        <v>0</v>
      </c>
      <c r="F382" s="11" t="n">
        <f aca="false">D382*Calculator!$B$8</f>
        <v>0</v>
      </c>
      <c r="G382" s="11" t="n">
        <f aca="false">IF(B382&gt;0,'Tax Tables'!$B$32*MIN(MAX(B382/'Tax Tables'!$B$32*'Tax Tables'!$B$33,'Tax Tables'!$B$34),'Tax Tables'!$B$35),0)</f>
        <v>0</v>
      </c>
      <c r="H382" s="11" t="n">
        <f aca="false">Calculator!$B$5-A382-F382-G382</f>
        <v>215500</v>
      </c>
      <c r="I382" s="11" t="n">
        <f aca="false">'Tax Tables'!$B$22*(MAX(H382,0)-IF(Calculator!$B$10="Yes",MIN(MAX(H382,0),'Tax Tables'!$B$27)*'Tax Tables'!$B$28+MIN(MAX(MAX(H382,0)-'Tax Tables'!$B$27,0),'Tax Tables'!$B$29)*'Tax Tables'!$B$30,MIN(MAX(H382,0),'Tax Tables'!$B$23)*'Tax Tables'!$B$24+MIN(MAX(MAX(H382,0)-'Tax Tables'!$B$23,0),'Tax Tables'!$B$25)*'Tax Tables'!$B$26))*1-MIN('Tax Tables'!$B$22*(MAX(H382,0)-IF(Calculator!$B$10="Yes",MIN(MAX(H382,0),'Tax Tables'!$B$27)*'Tax Tables'!$B$28+MIN(MAX(MAX(H382,0)-'Tax Tables'!$B$27,0),'Tax Tables'!$B$29)*'Tax Tables'!$B$30,MIN(MAX(H382,0),'Tax Tables'!$B$23)*'Tax Tables'!$B$24+MIN(MAX(MAX(H382,0)-'Tax Tables'!$B$23,0),'Tax Tables'!$B$25)*'Tax Tables'!$B$26))*Calculator!$B$11,Calculator!$B$12)</f>
        <v>19210</v>
      </c>
      <c r="J382" s="11" t="n">
        <f aca="false">MAX(H382,0)-I382</f>
        <v>196290</v>
      </c>
      <c r="K382" s="11" t="n">
        <f aca="false">MIN(IF(A382&gt;0,Calculator!$B$13,0)+E382+Calculator!$B$14,'Tax Tables'!$B$36)</f>
        <v>1000</v>
      </c>
      <c r="L382" s="11" t="n">
        <f aca="false">MAX(A382-K382,0)</f>
        <v>183500</v>
      </c>
      <c r="M382" s="11" t="n">
        <f aca="false">SUMPRODUCT((L382&gt;'Tax Tables'!$A$5:$A$17)*(L382-'Tax Tables'!$A$5:$A$17)*'Tax Tables'!$C$5:$C$17)</f>
        <v>18180</v>
      </c>
      <c r="N382" s="11" t="n">
        <f aca="false">IF(H382&lt;0,-1E+099,A382-E382-M382+J382+(E382+F382)*Calculator!$B$9)</f>
        <v>362610</v>
      </c>
      <c r="O382" s="2"/>
      <c r="P382" s="11" t="n">
        <f aca="false">369*$B$3</f>
        <v>184500</v>
      </c>
      <c r="Q382" s="11" t="n">
        <f aca="false">MIN(P382,'Tax Tables'!$B$31*'Tax Tables'!$B$32)</f>
        <v>96000</v>
      </c>
      <c r="R382" s="11" t="n">
        <f aca="false">P382-Q382</f>
        <v>88500</v>
      </c>
      <c r="S382" s="11" t="n">
        <f aca="false">IF(Calculator!$B$6="Yes",MIN(Q382,'Tax Tables'!$B$31*'Tax Tables'!$B$32),0)</f>
        <v>96000</v>
      </c>
      <c r="T382" s="11" t="n">
        <f aca="false">S382*Calculator!$B$7</f>
        <v>19200</v>
      </c>
      <c r="U382" s="11" t="n">
        <f aca="false">S382*Calculator!$B$8</f>
        <v>16320</v>
      </c>
      <c r="V382" s="11" t="n">
        <f aca="false">IF(Q382&gt;0,'Tax Tables'!$B$32*MIN(MAX(Q382/'Tax Tables'!$B$32*'Tax Tables'!$B$33,'Tax Tables'!$B$34),'Tax Tables'!$B$35),0)</f>
        <v>135</v>
      </c>
      <c r="W382" s="11" t="n">
        <f aca="false">Calculator!$B$5-P382-U382-V382</f>
        <v>199045</v>
      </c>
      <c r="X382" s="11" t="n">
        <f aca="false">'Tax Tables'!$B$22*(MAX(W382,0)-IF(Calculator!$B$10="Yes",MIN(MAX(W382,0),'Tax Tables'!$B$27)*'Tax Tables'!$B$28+MIN(MAX(MAX(W382,0)-'Tax Tables'!$B$27,0),'Tax Tables'!$B$29)*'Tax Tables'!$B$30,MIN(MAX(W382,0),'Tax Tables'!$B$23)*'Tax Tables'!$B$24+MIN(MAX(MAX(W382,0)-'Tax Tables'!$B$23,0),'Tax Tables'!$B$25)*'Tax Tables'!$B$26))*1-MIN('Tax Tables'!$B$22*(MAX(W382,0)-IF(Calculator!$B$10="Yes",MIN(MAX(W382,0),'Tax Tables'!$B$27)*'Tax Tables'!$B$28+MIN(MAX(MAX(W382,0)-'Tax Tables'!$B$27,0),'Tax Tables'!$B$29)*'Tax Tables'!$B$30,MIN(MAX(W382,0),'Tax Tables'!$B$23)*'Tax Tables'!$B$24+MIN(MAX(MAX(W382,0)-'Tax Tables'!$B$23,0),'Tax Tables'!$B$25)*'Tax Tables'!$B$26))*Calculator!$B$11,Calculator!$B$12)</f>
        <v>16493.825</v>
      </c>
      <c r="Y382" s="11" t="n">
        <f aca="false">MAX(W382,0)-X382</f>
        <v>182551.175</v>
      </c>
      <c r="Z382" s="11" t="n">
        <f aca="false">MIN(IF(P382&gt;0,Calculator!$B$13,0)+T382+Calculator!$B$14,'Tax Tables'!$B$36)</f>
        <v>20200</v>
      </c>
      <c r="AA382" s="11" t="n">
        <f aca="false">MAX(P382-Z382,0)</f>
        <v>164300</v>
      </c>
      <c r="AB382" s="11" t="n">
        <f aca="false">SUMPRODUCT((AA382&gt;'Tax Tables'!$A$5:$A$17)*(AA382-'Tax Tables'!$A$5:$A$17)*'Tax Tables'!$C$5:$C$17)</f>
        <v>14724</v>
      </c>
      <c r="AC382" s="11" t="n">
        <f aca="false">IF(W382&lt;0,-1E+099,P382-T382-AB382+Y382+(T382+U382)*Calculator!$B$9)</f>
        <v>368647.175</v>
      </c>
    </row>
    <row r="383" customFormat="false" ht="15" hidden="false" customHeight="false" outlineLevel="0" collapsed="false">
      <c r="A383" s="11" t="n">
        <f aca="false">370*$B$3</f>
        <v>185000</v>
      </c>
      <c r="B383" s="11" t="n">
        <f aca="false">0</f>
        <v>0</v>
      </c>
      <c r="C383" s="11" t="n">
        <f aca="false">A383-B383</f>
        <v>185000</v>
      </c>
      <c r="D383" s="11" t="n">
        <f aca="false">IF(Calculator!$B$6="Yes",MIN(B383,'Tax Tables'!$B$31*'Tax Tables'!$B$32),0)</f>
        <v>0</v>
      </c>
      <c r="E383" s="11" t="n">
        <f aca="false">D383*Calculator!$B$7</f>
        <v>0</v>
      </c>
      <c r="F383" s="11" t="n">
        <f aca="false">D383*Calculator!$B$8</f>
        <v>0</v>
      </c>
      <c r="G383" s="11" t="n">
        <f aca="false">IF(B383&gt;0,'Tax Tables'!$B$32*MIN(MAX(B383/'Tax Tables'!$B$32*'Tax Tables'!$B$33,'Tax Tables'!$B$34),'Tax Tables'!$B$35),0)</f>
        <v>0</v>
      </c>
      <c r="H383" s="11" t="n">
        <f aca="false">Calculator!$B$5-A383-F383-G383</f>
        <v>215000</v>
      </c>
      <c r="I383" s="11" t="n">
        <f aca="false">'Tax Tables'!$B$22*(MAX(H383,0)-IF(Calculator!$B$10="Yes",MIN(MAX(H383,0),'Tax Tables'!$B$27)*'Tax Tables'!$B$28+MIN(MAX(MAX(H383,0)-'Tax Tables'!$B$27,0),'Tax Tables'!$B$29)*'Tax Tables'!$B$30,MIN(MAX(H383,0),'Tax Tables'!$B$23)*'Tax Tables'!$B$24+MIN(MAX(MAX(H383,0)-'Tax Tables'!$B$23,0),'Tax Tables'!$B$25)*'Tax Tables'!$B$26))*1-MIN('Tax Tables'!$B$22*(MAX(H383,0)-IF(Calculator!$B$10="Yes",MIN(MAX(H383,0),'Tax Tables'!$B$27)*'Tax Tables'!$B$28+MIN(MAX(MAX(H383,0)-'Tax Tables'!$B$27,0),'Tax Tables'!$B$29)*'Tax Tables'!$B$30,MIN(MAX(H383,0),'Tax Tables'!$B$23)*'Tax Tables'!$B$24+MIN(MAX(MAX(H383,0)-'Tax Tables'!$B$23,0),'Tax Tables'!$B$25)*'Tax Tables'!$B$26))*Calculator!$B$11,Calculator!$B$12)</f>
        <v>19125</v>
      </c>
      <c r="J383" s="11" t="n">
        <f aca="false">MAX(H383,0)-I383</f>
        <v>195875</v>
      </c>
      <c r="K383" s="11" t="n">
        <f aca="false">MIN(IF(A383&gt;0,Calculator!$B$13,0)+E383+Calculator!$B$14,'Tax Tables'!$B$36)</f>
        <v>1000</v>
      </c>
      <c r="L383" s="11" t="n">
        <f aca="false">MAX(A383-K383,0)</f>
        <v>184000</v>
      </c>
      <c r="M383" s="11" t="n">
        <f aca="false">SUMPRODUCT((L383&gt;'Tax Tables'!$A$5:$A$17)*(L383-'Tax Tables'!$A$5:$A$17)*'Tax Tables'!$C$5:$C$17)</f>
        <v>18270</v>
      </c>
      <c r="N383" s="11" t="n">
        <f aca="false">IF(H383&lt;0,-1E+099,A383-E383-M383+J383+(E383+F383)*Calculator!$B$9)</f>
        <v>362605</v>
      </c>
      <c r="O383" s="2"/>
      <c r="P383" s="11" t="n">
        <f aca="false">370*$B$3</f>
        <v>185000</v>
      </c>
      <c r="Q383" s="11" t="n">
        <f aca="false">MIN(P383,'Tax Tables'!$B$31*'Tax Tables'!$B$32)</f>
        <v>96000</v>
      </c>
      <c r="R383" s="11" t="n">
        <f aca="false">P383-Q383</f>
        <v>89000</v>
      </c>
      <c r="S383" s="11" t="n">
        <f aca="false">IF(Calculator!$B$6="Yes",MIN(Q383,'Tax Tables'!$B$31*'Tax Tables'!$B$32),0)</f>
        <v>96000</v>
      </c>
      <c r="T383" s="11" t="n">
        <f aca="false">S383*Calculator!$B$7</f>
        <v>19200</v>
      </c>
      <c r="U383" s="11" t="n">
        <f aca="false">S383*Calculator!$B$8</f>
        <v>16320</v>
      </c>
      <c r="V383" s="11" t="n">
        <f aca="false">IF(Q383&gt;0,'Tax Tables'!$B$32*MIN(MAX(Q383/'Tax Tables'!$B$32*'Tax Tables'!$B$33,'Tax Tables'!$B$34),'Tax Tables'!$B$35),0)</f>
        <v>135</v>
      </c>
      <c r="W383" s="11" t="n">
        <f aca="false">Calculator!$B$5-P383-U383-V383</f>
        <v>198545</v>
      </c>
      <c r="X383" s="11" t="n">
        <f aca="false">'Tax Tables'!$B$22*(MAX(W383,0)-IF(Calculator!$B$10="Yes",MIN(MAX(W383,0),'Tax Tables'!$B$27)*'Tax Tables'!$B$28+MIN(MAX(MAX(W383,0)-'Tax Tables'!$B$27,0),'Tax Tables'!$B$29)*'Tax Tables'!$B$30,MIN(MAX(W383,0),'Tax Tables'!$B$23)*'Tax Tables'!$B$24+MIN(MAX(MAX(W383,0)-'Tax Tables'!$B$23,0),'Tax Tables'!$B$25)*'Tax Tables'!$B$26))*1-MIN('Tax Tables'!$B$22*(MAX(W383,0)-IF(Calculator!$B$10="Yes",MIN(MAX(W383,0),'Tax Tables'!$B$27)*'Tax Tables'!$B$28+MIN(MAX(MAX(W383,0)-'Tax Tables'!$B$27,0),'Tax Tables'!$B$29)*'Tax Tables'!$B$30,MIN(MAX(W383,0),'Tax Tables'!$B$23)*'Tax Tables'!$B$24+MIN(MAX(MAX(W383,0)-'Tax Tables'!$B$23,0),'Tax Tables'!$B$25)*'Tax Tables'!$B$26))*Calculator!$B$11,Calculator!$B$12)</f>
        <v>16451.325</v>
      </c>
      <c r="Y383" s="11" t="n">
        <f aca="false">MAX(W383,0)-X383</f>
        <v>182093.675</v>
      </c>
      <c r="Z383" s="11" t="n">
        <f aca="false">MIN(IF(P383&gt;0,Calculator!$B$13,0)+T383+Calculator!$B$14,'Tax Tables'!$B$36)</f>
        <v>20200</v>
      </c>
      <c r="AA383" s="11" t="n">
        <f aca="false">MAX(P383-Z383,0)</f>
        <v>164800</v>
      </c>
      <c r="AB383" s="11" t="n">
        <f aca="false">SUMPRODUCT((AA383&gt;'Tax Tables'!$A$5:$A$17)*(AA383-'Tax Tables'!$A$5:$A$17)*'Tax Tables'!$C$5:$C$17)</f>
        <v>14814</v>
      </c>
      <c r="AC383" s="11" t="n">
        <f aca="false">IF(W383&lt;0,-1E+099,P383-T383-AB383+Y383+(T383+U383)*Calculator!$B$9)</f>
        <v>368599.675</v>
      </c>
    </row>
    <row r="384" customFormat="false" ht="15" hidden="false" customHeight="false" outlineLevel="0" collapsed="false">
      <c r="A384" s="11" t="n">
        <f aca="false">371*$B$3</f>
        <v>185500</v>
      </c>
      <c r="B384" s="11" t="n">
        <f aca="false">0</f>
        <v>0</v>
      </c>
      <c r="C384" s="11" t="n">
        <f aca="false">A384-B384</f>
        <v>185500</v>
      </c>
      <c r="D384" s="11" t="n">
        <f aca="false">IF(Calculator!$B$6="Yes",MIN(B384,'Tax Tables'!$B$31*'Tax Tables'!$B$32),0)</f>
        <v>0</v>
      </c>
      <c r="E384" s="11" t="n">
        <f aca="false">D384*Calculator!$B$7</f>
        <v>0</v>
      </c>
      <c r="F384" s="11" t="n">
        <f aca="false">D384*Calculator!$B$8</f>
        <v>0</v>
      </c>
      <c r="G384" s="11" t="n">
        <f aca="false">IF(B384&gt;0,'Tax Tables'!$B$32*MIN(MAX(B384/'Tax Tables'!$B$32*'Tax Tables'!$B$33,'Tax Tables'!$B$34),'Tax Tables'!$B$35),0)</f>
        <v>0</v>
      </c>
      <c r="H384" s="11" t="n">
        <f aca="false">Calculator!$B$5-A384-F384-G384</f>
        <v>214500</v>
      </c>
      <c r="I384" s="11" t="n">
        <f aca="false">'Tax Tables'!$B$22*(MAX(H384,0)-IF(Calculator!$B$10="Yes",MIN(MAX(H384,0),'Tax Tables'!$B$27)*'Tax Tables'!$B$28+MIN(MAX(MAX(H384,0)-'Tax Tables'!$B$27,0),'Tax Tables'!$B$29)*'Tax Tables'!$B$30,MIN(MAX(H384,0),'Tax Tables'!$B$23)*'Tax Tables'!$B$24+MIN(MAX(MAX(H384,0)-'Tax Tables'!$B$23,0),'Tax Tables'!$B$25)*'Tax Tables'!$B$26))*1-MIN('Tax Tables'!$B$22*(MAX(H384,0)-IF(Calculator!$B$10="Yes",MIN(MAX(H384,0),'Tax Tables'!$B$27)*'Tax Tables'!$B$28+MIN(MAX(MAX(H384,0)-'Tax Tables'!$B$27,0),'Tax Tables'!$B$29)*'Tax Tables'!$B$30,MIN(MAX(H384,0),'Tax Tables'!$B$23)*'Tax Tables'!$B$24+MIN(MAX(MAX(H384,0)-'Tax Tables'!$B$23,0),'Tax Tables'!$B$25)*'Tax Tables'!$B$26))*Calculator!$B$11,Calculator!$B$12)</f>
        <v>19040</v>
      </c>
      <c r="J384" s="11" t="n">
        <f aca="false">MAX(H384,0)-I384</f>
        <v>195460</v>
      </c>
      <c r="K384" s="11" t="n">
        <f aca="false">MIN(IF(A384&gt;0,Calculator!$B$13,0)+E384+Calculator!$B$14,'Tax Tables'!$B$36)</f>
        <v>1000</v>
      </c>
      <c r="L384" s="11" t="n">
        <f aca="false">MAX(A384-K384,0)</f>
        <v>184500</v>
      </c>
      <c r="M384" s="11" t="n">
        <f aca="false">SUMPRODUCT((L384&gt;'Tax Tables'!$A$5:$A$17)*(L384-'Tax Tables'!$A$5:$A$17)*'Tax Tables'!$C$5:$C$17)</f>
        <v>18360</v>
      </c>
      <c r="N384" s="11" t="n">
        <f aca="false">IF(H384&lt;0,-1E+099,A384-E384-M384+J384+(E384+F384)*Calculator!$B$9)</f>
        <v>362600</v>
      </c>
      <c r="O384" s="2"/>
      <c r="P384" s="11" t="n">
        <f aca="false">371*$B$3</f>
        <v>185500</v>
      </c>
      <c r="Q384" s="11" t="n">
        <f aca="false">MIN(P384,'Tax Tables'!$B$31*'Tax Tables'!$B$32)</f>
        <v>96000</v>
      </c>
      <c r="R384" s="11" t="n">
        <f aca="false">P384-Q384</f>
        <v>89500</v>
      </c>
      <c r="S384" s="11" t="n">
        <f aca="false">IF(Calculator!$B$6="Yes",MIN(Q384,'Tax Tables'!$B$31*'Tax Tables'!$B$32),0)</f>
        <v>96000</v>
      </c>
      <c r="T384" s="11" t="n">
        <f aca="false">S384*Calculator!$B$7</f>
        <v>19200</v>
      </c>
      <c r="U384" s="11" t="n">
        <f aca="false">S384*Calculator!$B$8</f>
        <v>16320</v>
      </c>
      <c r="V384" s="11" t="n">
        <f aca="false">IF(Q384&gt;0,'Tax Tables'!$B$32*MIN(MAX(Q384/'Tax Tables'!$B$32*'Tax Tables'!$B$33,'Tax Tables'!$B$34),'Tax Tables'!$B$35),0)</f>
        <v>135</v>
      </c>
      <c r="W384" s="11" t="n">
        <f aca="false">Calculator!$B$5-P384-U384-V384</f>
        <v>198045</v>
      </c>
      <c r="X384" s="11" t="n">
        <f aca="false">'Tax Tables'!$B$22*(MAX(W384,0)-IF(Calculator!$B$10="Yes",MIN(MAX(W384,0),'Tax Tables'!$B$27)*'Tax Tables'!$B$28+MIN(MAX(MAX(W384,0)-'Tax Tables'!$B$27,0),'Tax Tables'!$B$29)*'Tax Tables'!$B$30,MIN(MAX(W384,0),'Tax Tables'!$B$23)*'Tax Tables'!$B$24+MIN(MAX(MAX(W384,0)-'Tax Tables'!$B$23,0),'Tax Tables'!$B$25)*'Tax Tables'!$B$26))*1-MIN('Tax Tables'!$B$22*(MAX(W384,0)-IF(Calculator!$B$10="Yes",MIN(MAX(W384,0),'Tax Tables'!$B$27)*'Tax Tables'!$B$28+MIN(MAX(MAX(W384,0)-'Tax Tables'!$B$27,0),'Tax Tables'!$B$29)*'Tax Tables'!$B$30,MIN(MAX(W384,0),'Tax Tables'!$B$23)*'Tax Tables'!$B$24+MIN(MAX(MAX(W384,0)-'Tax Tables'!$B$23,0),'Tax Tables'!$B$25)*'Tax Tables'!$B$26))*Calculator!$B$11,Calculator!$B$12)</f>
        <v>16408.825</v>
      </c>
      <c r="Y384" s="11" t="n">
        <f aca="false">MAX(W384,0)-X384</f>
        <v>181636.175</v>
      </c>
      <c r="Z384" s="11" t="n">
        <f aca="false">MIN(IF(P384&gt;0,Calculator!$B$13,0)+T384+Calculator!$B$14,'Tax Tables'!$B$36)</f>
        <v>20200</v>
      </c>
      <c r="AA384" s="11" t="n">
        <f aca="false">MAX(P384-Z384,0)</f>
        <v>165300</v>
      </c>
      <c r="AB384" s="11" t="n">
        <f aca="false">SUMPRODUCT((AA384&gt;'Tax Tables'!$A$5:$A$17)*(AA384-'Tax Tables'!$A$5:$A$17)*'Tax Tables'!$C$5:$C$17)</f>
        <v>14904</v>
      </c>
      <c r="AC384" s="11" t="n">
        <f aca="false">IF(W384&lt;0,-1E+099,P384-T384-AB384+Y384+(T384+U384)*Calculator!$B$9)</f>
        <v>368552.175</v>
      </c>
    </row>
    <row r="385" customFormat="false" ht="15" hidden="false" customHeight="false" outlineLevel="0" collapsed="false">
      <c r="A385" s="11" t="n">
        <f aca="false">372*$B$3</f>
        <v>186000</v>
      </c>
      <c r="B385" s="11" t="n">
        <f aca="false">0</f>
        <v>0</v>
      </c>
      <c r="C385" s="11" t="n">
        <f aca="false">A385-B385</f>
        <v>186000</v>
      </c>
      <c r="D385" s="11" t="n">
        <f aca="false">IF(Calculator!$B$6="Yes",MIN(B385,'Tax Tables'!$B$31*'Tax Tables'!$B$32),0)</f>
        <v>0</v>
      </c>
      <c r="E385" s="11" t="n">
        <f aca="false">D385*Calculator!$B$7</f>
        <v>0</v>
      </c>
      <c r="F385" s="11" t="n">
        <f aca="false">D385*Calculator!$B$8</f>
        <v>0</v>
      </c>
      <c r="G385" s="11" t="n">
        <f aca="false">IF(B385&gt;0,'Tax Tables'!$B$32*MIN(MAX(B385/'Tax Tables'!$B$32*'Tax Tables'!$B$33,'Tax Tables'!$B$34),'Tax Tables'!$B$35),0)</f>
        <v>0</v>
      </c>
      <c r="H385" s="11" t="n">
        <f aca="false">Calculator!$B$5-A385-F385-G385</f>
        <v>214000</v>
      </c>
      <c r="I385" s="11" t="n">
        <f aca="false">'Tax Tables'!$B$22*(MAX(H385,0)-IF(Calculator!$B$10="Yes",MIN(MAX(H385,0),'Tax Tables'!$B$27)*'Tax Tables'!$B$28+MIN(MAX(MAX(H385,0)-'Tax Tables'!$B$27,0),'Tax Tables'!$B$29)*'Tax Tables'!$B$30,MIN(MAX(H385,0),'Tax Tables'!$B$23)*'Tax Tables'!$B$24+MIN(MAX(MAX(H385,0)-'Tax Tables'!$B$23,0),'Tax Tables'!$B$25)*'Tax Tables'!$B$26))*1-MIN('Tax Tables'!$B$22*(MAX(H385,0)-IF(Calculator!$B$10="Yes",MIN(MAX(H385,0),'Tax Tables'!$B$27)*'Tax Tables'!$B$28+MIN(MAX(MAX(H385,0)-'Tax Tables'!$B$27,0),'Tax Tables'!$B$29)*'Tax Tables'!$B$30,MIN(MAX(H385,0),'Tax Tables'!$B$23)*'Tax Tables'!$B$24+MIN(MAX(MAX(H385,0)-'Tax Tables'!$B$23,0),'Tax Tables'!$B$25)*'Tax Tables'!$B$26))*Calculator!$B$11,Calculator!$B$12)</f>
        <v>18955</v>
      </c>
      <c r="J385" s="11" t="n">
        <f aca="false">MAX(H385,0)-I385</f>
        <v>195045</v>
      </c>
      <c r="K385" s="11" t="n">
        <f aca="false">MIN(IF(A385&gt;0,Calculator!$B$13,0)+E385+Calculator!$B$14,'Tax Tables'!$B$36)</f>
        <v>1000</v>
      </c>
      <c r="L385" s="11" t="n">
        <f aca="false">MAX(A385-K385,0)</f>
        <v>185000</v>
      </c>
      <c r="M385" s="11" t="n">
        <f aca="false">SUMPRODUCT((L385&gt;'Tax Tables'!$A$5:$A$17)*(L385-'Tax Tables'!$A$5:$A$17)*'Tax Tables'!$C$5:$C$17)</f>
        <v>18450</v>
      </c>
      <c r="N385" s="11" t="n">
        <f aca="false">IF(H385&lt;0,-1E+099,A385-E385-M385+J385+(E385+F385)*Calculator!$B$9)</f>
        <v>362595</v>
      </c>
      <c r="O385" s="2"/>
      <c r="P385" s="11" t="n">
        <f aca="false">372*$B$3</f>
        <v>186000</v>
      </c>
      <c r="Q385" s="11" t="n">
        <f aca="false">MIN(P385,'Tax Tables'!$B$31*'Tax Tables'!$B$32)</f>
        <v>96000</v>
      </c>
      <c r="R385" s="11" t="n">
        <f aca="false">P385-Q385</f>
        <v>90000</v>
      </c>
      <c r="S385" s="11" t="n">
        <f aca="false">IF(Calculator!$B$6="Yes",MIN(Q385,'Tax Tables'!$B$31*'Tax Tables'!$B$32),0)</f>
        <v>96000</v>
      </c>
      <c r="T385" s="11" t="n">
        <f aca="false">S385*Calculator!$B$7</f>
        <v>19200</v>
      </c>
      <c r="U385" s="11" t="n">
        <f aca="false">S385*Calculator!$B$8</f>
        <v>16320</v>
      </c>
      <c r="V385" s="11" t="n">
        <f aca="false">IF(Q385&gt;0,'Tax Tables'!$B$32*MIN(MAX(Q385/'Tax Tables'!$B$32*'Tax Tables'!$B$33,'Tax Tables'!$B$34),'Tax Tables'!$B$35),0)</f>
        <v>135</v>
      </c>
      <c r="W385" s="11" t="n">
        <f aca="false">Calculator!$B$5-P385-U385-V385</f>
        <v>197545</v>
      </c>
      <c r="X385" s="11" t="n">
        <f aca="false">'Tax Tables'!$B$22*(MAX(W385,0)-IF(Calculator!$B$10="Yes",MIN(MAX(W385,0),'Tax Tables'!$B$27)*'Tax Tables'!$B$28+MIN(MAX(MAX(W385,0)-'Tax Tables'!$B$27,0),'Tax Tables'!$B$29)*'Tax Tables'!$B$30,MIN(MAX(W385,0),'Tax Tables'!$B$23)*'Tax Tables'!$B$24+MIN(MAX(MAX(W385,0)-'Tax Tables'!$B$23,0),'Tax Tables'!$B$25)*'Tax Tables'!$B$26))*1-MIN('Tax Tables'!$B$22*(MAX(W385,0)-IF(Calculator!$B$10="Yes",MIN(MAX(W385,0),'Tax Tables'!$B$27)*'Tax Tables'!$B$28+MIN(MAX(MAX(W385,0)-'Tax Tables'!$B$27,0),'Tax Tables'!$B$29)*'Tax Tables'!$B$30,MIN(MAX(W385,0),'Tax Tables'!$B$23)*'Tax Tables'!$B$24+MIN(MAX(MAX(W385,0)-'Tax Tables'!$B$23,0),'Tax Tables'!$B$25)*'Tax Tables'!$B$26))*Calculator!$B$11,Calculator!$B$12)</f>
        <v>16366.325</v>
      </c>
      <c r="Y385" s="11" t="n">
        <f aca="false">MAX(W385,0)-X385</f>
        <v>181178.675</v>
      </c>
      <c r="Z385" s="11" t="n">
        <f aca="false">MIN(IF(P385&gt;0,Calculator!$B$13,0)+T385+Calculator!$B$14,'Tax Tables'!$B$36)</f>
        <v>20200</v>
      </c>
      <c r="AA385" s="11" t="n">
        <f aca="false">MAX(P385-Z385,0)</f>
        <v>165800</v>
      </c>
      <c r="AB385" s="11" t="n">
        <f aca="false">SUMPRODUCT((AA385&gt;'Tax Tables'!$A$5:$A$17)*(AA385-'Tax Tables'!$A$5:$A$17)*'Tax Tables'!$C$5:$C$17)</f>
        <v>14994</v>
      </c>
      <c r="AC385" s="11" t="n">
        <f aca="false">IF(W385&lt;0,-1E+099,P385-T385-AB385+Y385+(T385+U385)*Calculator!$B$9)</f>
        <v>368504.675</v>
      </c>
    </row>
    <row r="386" customFormat="false" ht="15" hidden="false" customHeight="false" outlineLevel="0" collapsed="false">
      <c r="A386" s="11" t="n">
        <f aca="false">373*$B$3</f>
        <v>186500</v>
      </c>
      <c r="B386" s="11" t="n">
        <f aca="false">0</f>
        <v>0</v>
      </c>
      <c r="C386" s="11" t="n">
        <f aca="false">A386-B386</f>
        <v>186500</v>
      </c>
      <c r="D386" s="11" t="n">
        <f aca="false">IF(Calculator!$B$6="Yes",MIN(B386,'Tax Tables'!$B$31*'Tax Tables'!$B$32),0)</f>
        <v>0</v>
      </c>
      <c r="E386" s="11" t="n">
        <f aca="false">D386*Calculator!$B$7</f>
        <v>0</v>
      </c>
      <c r="F386" s="11" t="n">
        <f aca="false">D386*Calculator!$B$8</f>
        <v>0</v>
      </c>
      <c r="G386" s="11" t="n">
        <f aca="false">IF(B386&gt;0,'Tax Tables'!$B$32*MIN(MAX(B386/'Tax Tables'!$B$32*'Tax Tables'!$B$33,'Tax Tables'!$B$34),'Tax Tables'!$B$35),0)</f>
        <v>0</v>
      </c>
      <c r="H386" s="11" t="n">
        <f aca="false">Calculator!$B$5-A386-F386-G386</f>
        <v>213500</v>
      </c>
      <c r="I386" s="11" t="n">
        <f aca="false">'Tax Tables'!$B$22*(MAX(H386,0)-IF(Calculator!$B$10="Yes",MIN(MAX(H386,0),'Tax Tables'!$B$27)*'Tax Tables'!$B$28+MIN(MAX(MAX(H386,0)-'Tax Tables'!$B$27,0),'Tax Tables'!$B$29)*'Tax Tables'!$B$30,MIN(MAX(H386,0),'Tax Tables'!$B$23)*'Tax Tables'!$B$24+MIN(MAX(MAX(H386,0)-'Tax Tables'!$B$23,0),'Tax Tables'!$B$25)*'Tax Tables'!$B$26))*1-MIN('Tax Tables'!$B$22*(MAX(H386,0)-IF(Calculator!$B$10="Yes",MIN(MAX(H386,0),'Tax Tables'!$B$27)*'Tax Tables'!$B$28+MIN(MAX(MAX(H386,0)-'Tax Tables'!$B$27,0),'Tax Tables'!$B$29)*'Tax Tables'!$B$30,MIN(MAX(H386,0),'Tax Tables'!$B$23)*'Tax Tables'!$B$24+MIN(MAX(MAX(H386,0)-'Tax Tables'!$B$23,0),'Tax Tables'!$B$25)*'Tax Tables'!$B$26))*Calculator!$B$11,Calculator!$B$12)</f>
        <v>18870</v>
      </c>
      <c r="J386" s="11" t="n">
        <f aca="false">MAX(H386,0)-I386</f>
        <v>194630</v>
      </c>
      <c r="K386" s="11" t="n">
        <f aca="false">MIN(IF(A386&gt;0,Calculator!$B$13,0)+E386+Calculator!$B$14,'Tax Tables'!$B$36)</f>
        <v>1000</v>
      </c>
      <c r="L386" s="11" t="n">
        <f aca="false">MAX(A386-K386,0)</f>
        <v>185500</v>
      </c>
      <c r="M386" s="11" t="n">
        <f aca="false">SUMPRODUCT((L386&gt;'Tax Tables'!$A$5:$A$17)*(L386-'Tax Tables'!$A$5:$A$17)*'Tax Tables'!$C$5:$C$17)</f>
        <v>18540</v>
      </c>
      <c r="N386" s="11" t="n">
        <f aca="false">IF(H386&lt;0,-1E+099,A386-E386-M386+J386+(E386+F386)*Calculator!$B$9)</f>
        <v>362590</v>
      </c>
      <c r="O386" s="2"/>
      <c r="P386" s="11" t="n">
        <f aca="false">373*$B$3</f>
        <v>186500</v>
      </c>
      <c r="Q386" s="11" t="n">
        <f aca="false">MIN(P386,'Tax Tables'!$B$31*'Tax Tables'!$B$32)</f>
        <v>96000</v>
      </c>
      <c r="R386" s="11" t="n">
        <f aca="false">P386-Q386</f>
        <v>90500</v>
      </c>
      <c r="S386" s="11" t="n">
        <f aca="false">IF(Calculator!$B$6="Yes",MIN(Q386,'Tax Tables'!$B$31*'Tax Tables'!$B$32),0)</f>
        <v>96000</v>
      </c>
      <c r="T386" s="11" t="n">
        <f aca="false">S386*Calculator!$B$7</f>
        <v>19200</v>
      </c>
      <c r="U386" s="11" t="n">
        <f aca="false">S386*Calculator!$B$8</f>
        <v>16320</v>
      </c>
      <c r="V386" s="11" t="n">
        <f aca="false">IF(Q386&gt;0,'Tax Tables'!$B$32*MIN(MAX(Q386/'Tax Tables'!$B$32*'Tax Tables'!$B$33,'Tax Tables'!$B$34),'Tax Tables'!$B$35),0)</f>
        <v>135</v>
      </c>
      <c r="W386" s="11" t="n">
        <f aca="false">Calculator!$B$5-P386-U386-V386</f>
        <v>197045</v>
      </c>
      <c r="X386" s="11" t="n">
        <f aca="false">'Tax Tables'!$B$22*(MAX(W386,0)-IF(Calculator!$B$10="Yes",MIN(MAX(W386,0),'Tax Tables'!$B$27)*'Tax Tables'!$B$28+MIN(MAX(MAX(W386,0)-'Tax Tables'!$B$27,0),'Tax Tables'!$B$29)*'Tax Tables'!$B$30,MIN(MAX(W386,0),'Tax Tables'!$B$23)*'Tax Tables'!$B$24+MIN(MAX(MAX(W386,0)-'Tax Tables'!$B$23,0),'Tax Tables'!$B$25)*'Tax Tables'!$B$26))*1-MIN('Tax Tables'!$B$22*(MAX(W386,0)-IF(Calculator!$B$10="Yes",MIN(MAX(W386,0),'Tax Tables'!$B$27)*'Tax Tables'!$B$28+MIN(MAX(MAX(W386,0)-'Tax Tables'!$B$27,0),'Tax Tables'!$B$29)*'Tax Tables'!$B$30,MIN(MAX(W386,0),'Tax Tables'!$B$23)*'Tax Tables'!$B$24+MIN(MAX(MAX(W386,0)-'Tax Tables'!$B$23,0),'Tax Tables'!$B$25)*'Tax Tables'!$B$26))*Calculator!$B$11,Calculator!$B$12)</f>
        <v>16323.825</v>
      </c>
      <c r="Y386" s="11" t="n">
        <f aca="false">MAX(W386,0)-X386</f>
        <v>180721.175</v>
      </c>
      <c r="Z386" s="11" t="n">
        <f aca="false">MIN(IF(P386&gt;0,Calculator!$B$13,0)+T386+Calculator!$B$14,'Tax Tables'!$B$36)</f>
        <v>20200</v>
      </c>
      <c r="AA386" s="11" t="n">
        <f aca="false">MAX(P386-Z386,0)</f>
        <v>166300</v>
      </c>
      <c r="AB386" s="11" t="n">
        <f aca="false">SUMPRODUCT((AA386&gt;'Tax Tables'!$A$5:$A$17)*(AA386-'Tax Tables'!$A$5:$A$17)*'Tax Tables'!$C$5:$C$17)</f>
        <v>15084</v>
      </c>
      <c r="AC386" s="11" t="n">
        <f aca="false">IF(W386&lt;0,-1E+099,P386-T386-AB386+Y386+(T386+U386)*Calculator!$B$9)</f>
        <v>368457.175</v>
      </c>
    </row>
    <row r="387" customFormat="false" ht="15" hidden="false" customHeight="false" outlineLevel="0" collapsed="false">
      <c r="A387" s="11" t="n">
        <f aca="false">374*$B$3</f>
        <v>187000</v>
      </c>
      <c r="B387" s="11" t="n">
        <f aca="false">0</f>
        <v>0</v>
      </c>
      <c r="C387" s="11" t="n">
        <f aca="false">A387-B387</f>
        <v>187000</v>
      </c>
      <c r="D387" s="11" t="n">
        <f aca="false">IF(Calculator!$B$6="Yes",MIN(B387,'Tax Tables'!$B$31*'Tax Tables'!$B$32),0)</f>
        <v>0</v>
      </c>
      <c r="E387" s="11" t="n">
        <f aca="false">D387*Calculator!$B$7</f>
        <v>0</v>
      </c>
      <c r="F387" s="11" t="n">
        <f aca="false">D387*Calculator!$B$8</f>
        <v>0</v>
      </c>
      <c r="G387" s="11" t="n">
        <f aca="false">IF(B387&gt;0,'Tax Tables'!$B$32*MIN(MAX(B387/'Tax Tables'!$B$32*'Tax Tables'!$B$33,'Tax Tables'!$B$34),'Tax Tables'!$B$35),0)</f>
        <v>0</v>
      </c>
      <c r="H387" s="11" t="n">
        <f aca="false">Calculator!$B$5-A387-F387-G387</f>
        <v>213000</v>
      </c>
      <c r="I387" s="11" t="n">
        <f aca="false">'Tax Tables'!$B$22*(MAX(H387,0)-IF(Calculator!$B$10="Yes",MIN(MAX(H387,0),'Tax Tables'!$B$27)*'Tax Tables'!$B$28+MIN(MAX(MAX(H387,0)-'Tax Tables'!$B$27,0),'Tax Tables'!$B$29)*'Tax Tables'!$B$30,MIN(MAX(H387,0),'Tax Tables'!$B$23)*'Tax Tables'!$B$24+MIN(MAX(MAX(H387,0)-'Tax Tables'!$B$23,0),'Tax Tables'!$B$25)*'Tax Tables'!$B$26))*1-MIN('Tax Tables'!$B$22*(MAX(H387,0)-IF(Calculator!$B$10="Yes",MIN(MAX(H387,0),'Tax Tables'!$B$27)*'Tax Tables'!$B$28+MIN(MAX(MAX(H387,0)-'Tax Tables'!$B$27,0),'Tax Tables'!$B$29)*'Tax Tables'!$B$30,MIN(MAX(H387,0),'Tax Tables'!$B$23)*'Tax Tables'!$B$24+MIN(MAX(MAX(H387,0)-'Tax Tables'!$B$23,0),'Tax Tables'!$B$25)*'Tax Tables'!$B$26))*Calculator!$B$11,Calculator!$B$12)</f>
        <v>18785</v>
      </c>
      <c r="J387" s="11" t="n">
        <f aca="false">MAX(H387,0)-I387</f>
        <v>194215</v>
      </c>
      <c r="K387" s="11" t="n">
        <f aca="false">MIN(IF(A387&gt;0,Calculator!$B$13,0)+E387+Calculator!$B$14,'Tax Tables'!$B$36)</f>
        <v>1000</v>
      </c>
      <c r="L387" s="11" t="n">
        <f aca="false">MAX(A387-K387,0)</f>
        <v>186000</v>
      </c>
      <c r="M387" s="11" t="n">
        <f aca="false">SUMPRODUCT((L387&gt;'Tax Tables'!$A$5:$A$17)*(L387-'Tax Tables'!$A$5:$A$17)*'Tax Tables'!$C$5:$C$17)</f>
        <v>18630</v>
      </c>
      <c r="N387" s="11" t="n">
        <f aca="false">IF(H387&lt;0,-1E+099,A387-E387-M387+J387+(E387+F387)*Calculator!$B$9)</f>
        <v>362585</v>
      </c>
      <c r="O387" s="2"/>
      <c r="P387" s="11" t="n">
        <f aca="false">374*$B$3</f>
        <v>187000</v>
      </c>
      <c r="Q387" s="11" t="n">
        <f aca="false">MIN(P387,'Tax Tables'!$B$31*'Tax Tables'!$B$32)</f>
        <v>96000</v>
      </c>
      <c r="R387" s="11" t="n">
        <f aca="false">P387-Q387</f>
        <v>91000</v>
      </c>
      <c r="S387" s="11" t="n">
        <f aca="false">IF(Calculator!$B$6="Yes",MIN(Q387,'Tax Tables'!$B$31*'Tax Tables'!$B$32),0)</f>
        <v>96000</v>
      </c>
      <c r="T387" s="11" t="n">
        <f aca="false">S387*Calculator!$B$7</f>
        <v>19200</v>
      </c>
      <c r="U387" s="11" t="n">
        <f aca="false">S387*Calculator!$B$8</f>
        <v>16320</v>
      </c>
      <c r="V387" s="11" t="n">
        <f aca="false">IF(Q387&gt;0,'Tax Tables'!$B$32*MIN(MAX(Q387/'Tax Tables'!$B$32*'Tax Tables'!$B$33,'Tax Tables'!$B$34),'Tax Tables'!$B$35),0)</f>
        <v>135</v>
      </c>
      <c r="W387" s="11" t="n">
        <f aca="false">Calculator!$B$5-P387-U387-V387</f>
        <v>196545</v>
      </c>
      <c r="X387" s="11" t="n">
        <f aca="false">'Tax Tables'!$B$22*(MAX(W387,0)-IF(Calculator!$B$10="Yes",MIN(MAX(W387,0),'Tax Tables'!$B$27)*'Tax Tables'!$B$28+MIN(MAX(MAX(W387,0)-'Tax Tables'!$B$27,0),'Tax Tables'!$B$29)*'Tax Tables'!$B$30,MIN(MAX(W387,0),'Tax Tables'!$B$23)*'Tax Tables'!$B$24+MIN(MAX(MAX(W387,0)-'Tax Tables'!$B$23,0),'Tax Tables'!$B$25)*'Tax Tables'!$B$26))*1-MIN('Tax Tables'!$B$22*(MAX(W387,0)-IF(Calculator!$B$10="Yes",MIN(MAX(W387,0),'Tax Tables'!$B$27)*'Tax Tables'!$B$28+MIN(MAX(MAX(W387,0)-'Tax Tables'!$B$27,0),'Tax Tables'!$B$29)*'Tax Tables'!$B$30,MIN(MAX(W387,0),'Tax Tables'!$B$23)*'Tax Tables'!$B$24+MIN(MAX(MAX(W387,0)-'Tax Tables'!$B$23,0),'Tax Tables'!$B$25)*'Tax Tables'!$B$26))*Calculator!$B$11,Calculator!$B$12)</f>
        <v>16281.325</v>
      </c>
      <c r="Y387" s="11" t="n">
        <f aca="false">MAX(W387,0)-X387</f>
        <v>180263.675</v>
      </c>
      <c r="Z387" s="11" t="n">
        <f aca="false">MIN(IF(P387&gt;0,Calculator!$B$13,0)+T387+Calculator!$B$14,'Tax Tables'!$B$36)</f>
        <v>20200</v>
      </c>
      <c r="AA387" s="11" t="n">
        <f aca="false">MAX(P387-Z387,0)</f>
        <v>166800</v>
      </c>
      <c r="AB387" s="11" t="n">
        <f aca="false">SUMPRODUCT((AA387&gt;'Tax Tables'!$A$5:$A$17)*(AA387-'Tax Tables'!$A$5:$A$17)*'Tax Tables'!$C$5:$C$17)</f>
        <v>15174</v>
      </c>
      <c r="AC387" s="11" t="n">
        <f aca="false">IF(W387&lt;0,-1E+099,P387-T387-AB387+Y387+(T387+U387)*Calculator!$B$9)</f>
        <v>368409.675</v>
      </c>
    </row>
    <row r="388" customFormat="false" ht="15" hidden="false" customHeight="false" outlineLevel="0" collapsed="false">
      <c r="A388" s="11" t="n">
        <f aca="false">375*$B$3</f>
        <v>187500</v>
      </c>
      <c r="B388" s="11" t="n">
        <f aca="false">0</f>
        <v>0</v>
      </c>
      <c r="C388" s="11" t="n">
        <f aca="false">A388-B388</f>
        <v>187500</v>
      </c>
      <c r="D388" s="11" t="n">
        <f aca="false">IF(Calculator!$B$6="Yes",MIN(B388,'Tax Tables'!$B$31*'Tax Tables'!$B$32),0)</f>
        <v>0</v>
      </c>
      <c r="E388" s="11" t="n">
        <f aca="false">D388*Calculator!$B$7</f>
        <v>0</v>
      </c>
      <c r="F388" s="11" t="n">
        <f aca="false">D388*Calculator!$B$8</f>
        <v>0</v>
      </c>
      <c r="G388" s="11" t="n">
        <f aca="false">IF(B388&gt;0,'Tax Tables'!$B$32*MIN(MAX(B388/'Tax Tables'!$B$32*'Tax Tables'!$B$33,'Tax Tables'!$B$34),'Tax Tables'!$B$35),0)</f>
        <v>0</v>
      </c>
      <c r="H388" s="11" t="n">
        <f aca="false">Calculator!$B$5-A388-F388-G388</f>
        <v>212500</v>
      </c>
      <c r="I388" s="11" t="n">
        <f aca="false">'Tax Tables'!$B$22*(MAX(H388,0)-IF(Calculator!$B$10="Yes",MIN(MAX(H388,0),'Tax Tables'!$B$27)*'Tax Tables'!$B$28+MIN(MAX(MAX(H388,0)-'Tax Tables'!$B$27,0),'Tax Tables'!$B$29)*'Tax Tables'!$B$30,MIN(MAX(H388,0),'Tax Tables'!$B$23)*'Tax Tables'!$B$24+MIN(MAX(MAX(H388,0)-'Tax Tables'!$B$23,0),'Tax Tables'!$B$25)*'Tax Tables'!$B$26))*1-MIN('Tax Tables'!$B$22*(MAX(H388,0)-IF(Calculator!$B$10="Yes",MIN(MAX(H388,0),'Tax Tables'!$B$27)*'Tax Tables'!$B$28+MIN(MAX(MAX(H388,0)-'Tax Tables'!$B$27,0),'Tax Tables'!$B$29)*'Tax Tables'!$B$30,MIN(MAX(H388,0),'Tax Tables'!$B$23)*'Tax Tables'!$B$24+MIN(MAX(MAX(H388,0)-'Tax Tables'!$B$23,0),'Tax Tables'!$B$25)*'Tax Tables'!$B$26))*Calculator!$B$11,Calculator!$B$12)</f>
        <v>18700</v>
      </c>
      <c r="J388" s="11" t="n">
        <f aca="false">MAX(H388,0)-I388</f>
        <v>193800</v>
      </c>
      <c r="K388" s="11" t="n">
        <f aca="false">MIN(IF(A388&gt;0,Calculator!$B$13,0)+E388+Calculator!$B$14,'Tax Tables'!$B$36)</f>
        <v>1000</v>
      </c>
      <c r="L388" s="11" t="n">
        <f aca="false">MAX(A388-K388,0)</f>
        <v>186500</v>
      </c>
      <c r="M388" s="11" t="n">
        <f aca="false">SUMPRODUCT((L388&gt;'Tax Tables'!$A$5:$A$17)*(L388-'Tax Tables'!$A$5:$A$17)*'Tax Tables'!$C$5:$C$17)</f>
        <v>18720</v>
      </c>
      <c r="N388" s="11" t="n">
        <f aca="false">IF(H388&lt;0,-1E+099,A388-E388-M388+J388+(E388+F388)*Calculator!$B$9)</f>
        <v>362580</v>
      </c>
      <c r="O388" s="2"/>
      <c r="P388" s="11" t="n">
        <f aca="false">375*$B$3</f>
        <v>187500</v>
      </c>
      <c r="Q388" s="11" t="n">
        <f aca="false">MIN(P388,'Tax Tables'!$B$31*'Tax Tables'!$B$32)</f>
        <v>96000</v>
      </c>
      <c r="R388" s="11" t="n">
        <f aca="false">P388-Q388</f>
        <v>91500</v>
      </c>
      <c r="S388" s="11" t="n">
        <f aca="false">IF(Calculator!$B$6="Yes",MIN(Q388,'Tax Tables'!$B$31*'Tax Tables'!$B$32),0)</f>
        <v>96000</v>
      </c>
      <c r="T388" s="11" t="n">
        <f aca="false">S388*Calculator!$B$7</f>
        <v>19200</v>
      </c>
      <c r="U388" s="11" t="n">
        <f aca="false">S388*Calculator!$B$8</f>
        <v>16320</v>
      </c>
      <c r="V388" s="11" t="n">
        <f aca="false">IF(Q388&gt;0,'Tax Tables'!$B$32*MIN(MAX(Q388/'Tax Tables'!$B$32*'Tax Tables'!$B$33,'Tax Tables'!$B$34),'Tax Tables'!$B$35),0)</f>
        <v>135</v>
      </c>
      <c r="W388" s="11" t="n">
        <f aca="false">Calculator!$B$5-P388-U388-V388</f>
        <v>196045</v>
      </c>
      <c r="X388" s="11" t="n">
        <f aca="false">'Tax Tables'!$B$22*(MAX(W388,0)-IF(Calculator!$B$10="Yes",MIN(MAX(W388,0),'Tax Tables'!$B$27)*'Tax Tables'!$B$28+MIN(MAX(MAX(W388,0)-'Tax Tables'!$B$27,0),'Tax Tables'!$B$29)*'Tax Tables'!$B$30,MIN(MAX(W388,0),'Tax Tables'!$B$23)*'Tax Tables'!$B$24+MIN(MAX(MAX(W388,0)-'Tax Tables'!$B$23,0),'Tax Tables'!$B$25)*'Tax Tables'!$B$26))*1-MIN('Tax Tables'!$B$22*(MAX(W388,0)-IF(Calculator!$B$10="Yes",MIN(MAX(W388,0),'Tax Tables'!$B$27)*'Tax Tables'!$B$28+MIN(MAX(MAX(W388,0)-'Tax Tables'!$B$27,0),'Tax Tables'!$B$29)*'Tax Tables'!$B$30,MIN(MAX(W388,0),'Tax Tables'!$B$23)*'Tax Tables'!$B$24+MIN(MAX(MAX(W388,0)-'Tax Tables'!$B$23,0),'Tax Tables'!$B$25)*'Tax Tables'!$B$26))*Calculator!$B$11,Calculator!$B$12)</f>
        <v>16238.825</v>
      </c>
      <c r="Y388" s="11" t="n">
        <f aca="false">MAX(W388,0)-X388</f>
        <v>179806.175</v>
      </c>
      <c r="Z388" s="11" t="n">
        <f aca="false">MIN(IF(P388&gt;0,Calculator!$B$13,0)+T388+Calculator!$B$14,'Tax Tables'!$B$36)</f>
        <v>20200</v>
      </c>
      <c r="AA388" s="11" t="n">
        <f aca="false">MAX(P388-Z388,0)</f>
        <v>167300</v>
      </c>
      <c r="AB388" s="11" t="n">
        <f aca="false">SUMPRODUCT((AA388&gt;'Tax Tables'!$A$5:$A$17)*(AA388-'Tax Tables'!$A$5:$A$17)*'Tax Tables'!$C$5:$C$17)</f>
        <v>15264</v>
      </c>
      <c r="AC388" s="11" t="n">
        <f aca="false">IF(W388&lt;0,-1E+099,P388-T388-AB388+Y388+(T388+U388)*Calculator!$B$9)</f>
        <v>368362.175</v>
      </c>
    </row>
    <row r="389" customFormat="false" ht="15" hidden="false" customHeight="false" outlineLevel="0" collapsed="false">
      <c r="A389" s="11" t="n">
        <f aca="false">376*$B$3</f>
        <v>188000</v>
      </c>
      <c r="B389" s="11" t="n">
        <f aca="false">0</f>
        <v>0</v>
      </c>
      <c r="C389" s="11" t="n">
        <f aca="false">A389-B389</f>
        <v>188000</v>
      </c>
      <c r="D389" s="11" t="n">
        <f aca="false">IF(Calculator!$B$6="Yes",MIN(B389,'Tax Tables'!$B$31*'Tax Tables'!$B$32),0)</f>
        <v>0</v>
      </c>
      <c r="E389" s="11" t="n">
        <f aca="false">D389*Calculator!$B$7</f>
        <v>0</v>
      </c>
      <c r="F389" s="11" t="n">
        <f aca="false">D389*Calculator!$B$8</f>
        <v>0</v>
      </c>
      <c r="G389" s="11" t="n">
        <f aca="false">IF(B389&gt;0,'Tax Tables'!$B$32*MIN(MAX(B389/'Tax Tables'!$B$32*'Tax Tables'!$B$33,'Tax Tables'!$B$34),'Tax Tables'!$B$35),0)</f>
        <v>0</v>
      </c>
      <c r="H389" s="11" t="n">
        <f aca="false">Calculator!$B$5-A389-F389-G389</f>
        <v>212000</v>
      </c>
      <c r="I389" s="11" t="n">
        <f aca="false">'Tax Tables'!$B$22*(MAX(H389,0)-IF(Calculator!$B$10="Yes",MIN(MAX(H389,0),'Tax Tables'!$B$27)*'Tax Tables'!$B$28+MIN(MAX(MAX(H389,0)-'Tax Tables'!$B$27,0),'Tax Tables'!$B$29)*'Tax Tables'!$B$30,MIN(MAX(H389,0),'Tax Tables'!$B$23)*'Tax Tables'!$B$24+MIN(MAX(MAX(H389,0)-'Tax Tables'!$B$23,0),'Tax Tables'!$B$25)*'Tax Tables'!$B$26))*1-MIN('Tax Tables'!$B$22*(MAX(H389,0)-IF(Calculator!$B$10="Yes",MIN(MAX(H389,0),'Tax Tables'!$B$27)*'Tax Tables'!$B$28+MIN(MAX(MAX(H389,0)-'Tax Tables'!$B$27,0),'Tax Tables'!$B$29)*'Tax Tables'!$B$30,MIN(MAX(H389,0),'Tax Tables'!$B$23)*'Tax Tables'!$B$24+MIN(MAX(MAX(H389,0)-'Tax Tables'!$B$23,0),'Tax Tables'!$B$25)*'Tax Tables'!$B$26))*Calculator!$B$11,Calculator!$B$12)</f>
        <v>18615</v>
      </c>
      <c r="J389" s="11" t="n">
        <f aca="false">MAX(H389,0)-I389</f>
        <v>193385</v>
      </c>
      <c r="K389" s="11" t="n">
        <f aca="false">MIN(IF(A389&gt;0,Calculator!$B$13,0)+E389+Calculator!$B$14,'Tax Tables'!$B$36)</f>
        <v>1000</v>
      </c>
      <c r="L389" s="11" t="n">
        <f aca="false">MAX(A389-K389,0)</f>
        <v>187000</v>
      </c>
      <c r="M389" s="11" t="n">
        <f aca="false">SUMPRODUCT((L389&gt;'Tax Tables'!$A$5:$A$17)*(L389-'Tax Tables'!$A$5:$A$17)*'Tax Tables'!$C$5:$C$17)</f>
        <v>18810</v>
      </c>
      <c r="N389" s="11" t="n">
        <f aca="false">IF(H389&lt;0,-1E+099,A389-E389-M389+J389+(E389+F389)*Calculator!$B$9)</f>
        <v>362575</v>
      </c>
      <c r="O389" s="2"/>
      <c r="P389" s="11" t="n">
        <f aca="false">376*$B$3</f>
        <v>188000</v>
      </c>
      <c r="Q389" s="11" t="n">
        <f aca="false">MIN(P389,'Tax Tables'!$B$31*'Tax Tables'!$B$32)</f>
        <v>96000</v>
      </c>
      <c r="R389" s="11" t="n">
        <f aca="false">P389-Q389</f>
        <v>92000</v>
      </c>
      <c r="S389" s="11" t="n">
        <f aca="false">IF(Calculator!$B$6="Yes",MIN(Q389,'Tax Tables'!$B$31*'Tax Tables'!$B$32),0)</f>
        <v>96000</v>
      </c>
      <c r="T389" s="11" t="n">
        <f aca="false">S389*Calculator!$B$7</f>
        <v>19200</v>
      </c>
      <c r="U389" s="11" t="n">
        <f aca="false">S389*Calculator!$B$8</f>
        <v>16320</v>
      </c>
      <c r="V389" s="11" t="n">
        <f aca="false">IF(Q389&gt;0,'Tax Tables'!$B$32*MIN(MAX(Q389/'Tax Tables'!$B$32*'Tax Tables'!$B$33,'Tax Tables'!$B$34),'Tax Tables'!$B$35),0)</f>
        <v>135</v>
      </c>
      <c r="W389" s="11" t="n">
        <f aca="false">Calculator!$B$5-P389-U389-V389</f>
        <v>195545</v>
      </c>
      <c r="X389" s="11" t="n">
        <f aca="false">'Tax Tables'!$B$22*(MAX(W389,0)-IF(Calculator!$B$10="Yes",MIN(MAX(W389,0),'Tax Tables'!$B$27)*'Tax Tables'!$B$28+MIN(MAX(MAX(W389,0)-'Tax Tables'!$B$27,0),'Tax Tables'!$B$29)*'Tax Tables'!$B$30,MIN(MAX(W389,0),'Tax Tables'!$B$23)*'Tax Tables'!$B$24+MIN(MAX(MAX(W389,0)-'Tax Tables'!$B$23,0),'Tax Tables'!$B$25)*'Tax Tables'!$B$26))*1-MIN('Tax Tables'!$B$22*(MAX(W389,0)-IF(Calculator!$B$10="Yes",MIN(MAX(W389,0),'Tax Tables'!$B$27)*'Tax Tables'!$B$28+MIN(MAX(MAX(W389,0)-'Tax Tables'!$B$27,0),'Tax Tables'!$B$29)*'Tax Tables'!$B$30,MIN(MAX(W389,0),'Tax Tables'!$B$23)*'Tax Tables'!$B$24+MIN(MAX(MAX(W389,0)-'Tax Tables'!$B$23,0),'Tax Tables'!$B$25)*'Tax Tables'!$B$26))*Calculator!$B$11,Calculator!$B$12)</f>
        <v>16196.325</v>
      </c>
      <c r="Y389" s="11" t="n">
        <f aca="false">MAX(W389,0)-X389</f>
        <v>179348.675</v>
      </c>
      <c r="Z389" s="11" t="n">
        <f aca="false">MIN(IF(P389&gt;0,Calculator!$B$13,0)+T389+Calculator!$B$14,'Tax Tables'!$B$36)</f>
        <v>20200</v>
      </c>
      <c r="AA389" s="11" t="n">
        <f aca="false">MAX(P389-Z389,0)</f>
        <v>167800</v>
      </c>
      <c r="AB389" s="11" t="n">
        <f aca="false">SUMPRODUCT((AA389&gt;'Tax Tables'!$A$5:$A$17)*(AA389-'Tax Tables'!$A$5:$A$17)*'Tax Tables'!$C$5:$C$17)</f>
        <v>15354</v>
      </c>
      <c r="AC389" s="11" t="n">
        <f aca="false">IF(W389&lt;0,-1E+099,P389-T389-AB389+Y389+(T389+U389)*Calculator!$B$9)</f>
        <v>368314.675</v>
      </c>
    </row>
    <row r="390" customFormat="false" ht="15" hidden="false" customHeight="false" outlineLevel="0" collapsed="false">
      <c r="A390" s="11" t="n">
        <f aca="false">377*$B$3</f>
        <v>188500</v>
      </c>
      <c r="B390" s="11" t="n">
        <f aca="false">0</f>
        <v>0</v>
      </c>
      <c r="C390" s="11" t="n">
        <f aca="false">A390-B390</f>
        <v>188500</v>
      </c>
      <c r="D390" s="11" t="n">
        <f aca="false">IF(Calculator!$B$6="Yes",MIN(B390,'Tax Tables'!$B$31*'Tax Tables'!$B$32),0)</f>
        <v>0</v>
      </c>
      <c r="E390" s="11" t="n">
        <f aca="false">D390*Calculator!$B$7</f>
        <v>0</v>
      </c>
      <c r="F390" s="11" t="n">
        <f aca="false">D390*Calculator!$B$8</f>
        <v>0</v>
      </c>
      <c r="G390" s="11" t="n">
        <f aca="false">IF(B390&gt;0,'Tax Tables'!$B$32*MIN(MAX(B390/'Tax Tables'!$B$32*'Tax Tables'!$B$33,'Tax Tables'!$B$34),'Tax Tables'!$B$35),0)</f>
        <v>0</v>
      </c>
      <c r="H390" s="11" t="n">
        <f aca="false">Calculator!$B$5-A390-F390-G390</f>
        <v>211500</v>
      </c>
      <c r="I390" s="11" t="n">
        <f aca="false">'Tax Tables'!$B$22*(MAX(H390,0)-IF(Calculator!$B$10="Yes",MIN(MAX(H390,0),'Tax Tables'!$B$27)*'Tax Tables'!$B$28+MIN(MAX(MAX(H390,0)-'Tax Tables'!$B$27,0),'Tax Tables'!$B$29)*'Tax Tables'!$B$30,MIN(MAX(H390,0),'Tax Tables'!$B$23)*'Tax Tables'!$B$24+MIN(MAX(MAX(H390,0)-'Tax Tables'!$B$23,0),'Tax Tables'!$B$25)*'Tax Tables'!$B$26))*1-MIN('Tax Tables'!$B$22*(MAX(H390,0)-IF(Calculator!$B$10="Yes",MIN(MAX(H390,0),'Tax Tables'!$B$27)*'Tax Tables'!$B$28+MIN(MAX(MAX(H390,0)-'Tax Tables'!$B$27,0),'Tax Tables'!$B$29)*'Tax Tables'!$B$30,MIN(MAX(H390,0),'Tax Tables'!$B$23)*'Tax Tables'!$B$24+MIN(MAX(MAX(H390,0)-'Tax Tables'!$B$23,0),'Tax Tables'!$B$25)*'Tax Tables'!$B$26))*Calculator!$B$11,Calculator!$B$12)</f>
        <v>18530</v>
      </c>
      <c r="J390" s="11" t="n">
        <f aca="false">MAX(H390,0)-I390</f>
        <v>192970</v>
      </c>
      <c r="K390" s="11" t="n">
        <f aca="false">MIN(IF(A390&gt;0,Calculator!$B$13,0)+E390+Calculator!$B$14,'Tax Tables'!$B$36)</f>
        <v>1000</v>
      </c>
      <c r="L390" s="11" t="n">
        <f aca="false">MAX(A390-K390,0)</f>
        <v>187500</v>
      </c>
      <c r="M390" s="11" t="n">
        <f aca="false">SUMPRODUCT((L390&gt;'Tax Tables'!$A$5:$A$17)*(L390-'Tax Tables'!$A$5:$A$17)*'Tax Tables'!$C$5:$C$17)</f>
        <v>18900</v>
      </c>
      <c r="N390" s="11" t="n">
        <f aca="false">IF(H390&lt;0,-1E+099,A390-E390-M390+J390+(E390+F390)*Calculator!$B$9)</f>
        <v>362570</v>
      </c>
      <c r="O390" s="2"/>
      <c r="P390" s="11" t="n">
        <f aca="false">377*$B$3</f>
        <v>188500</v>
      </c>
      <c r="Q390" s="11" t="n">
        <f aca="false">MIN(P390,'Tax Tables'!$B$31*'Tax Tables'!$B$32)</f>
        <v>96000</v>
      </c>
      <c r="R390" s="11" t="n">
        <f aca="false">P390-Q390</f>
        <v>92500</v>
      </c>
      <c r="S390" s="11" t="n">
        <f aca="false">IF(Calculator!$B$6="Yes",MIN(Q390,'Tax Tables'!$B$31*'Tax Tables'!$B$32),0)</f>
        <v>96000</v>
      </c>
      <c r="T390" s="11" t="n">
        <f aca="false">S390*Calculator!$B$7</f>
        <v>19200</v>
      </c>
      <c r="U390" s="11" t="n">
        <f aca="false">S390*Calculator!$B$8</f>
        <v>16320</v>
      </c>
      <c r="V390" s="11" t="n">
        <f aca="false">IF(Q390&gt;0,'Tax Tables'!$B$32*MIN(MAX(Q390/'Tax Tables'!$B$32*'Tax Tables'!$B$33,'Tax Tables'!$B$34),'Tax Tables'!$B$35),0)</f>
        <v>135</v>
      </c>
      <c r="W390" s="11" t="n">
        <f aca="false">Calculator!$B$5-P390-U390-V390</f>
        <v>195045</v>
      </c>
      <c r="X390" s="11" t="n">
        <f aca="false">'Tax Tables'!$B$22*(MAX(W390,0)-IF(Calculator!$B$10="Yes",MIN(MAX(W390,0),'Tax Tables'!$B$27)*'Tax Tables'!$B$28+MIN(MAX(MAX(W390,0)-'Tax Tables'!$B$27,0),'Tax Tables'!$B$29)*'Tax Tables'!$B$30,MIN(MAX(W390,0),'Tax Tables'!$B$23)*'Tax Tables'!$B$24+MIN(MAX(MAX(W390,0)-'Tax Tables'!$B$23,0),'Tax Tables'!$B$25)*'Tax Tables'!$B$26))*1-MIN('Tax Tables'!$B$22*(MAX(W390,0)-IF(Calculator!$B$10="Yes",MIN(MAX(W390,0),'Tax Tables'!$B$27)*'Tax Tables'!$B$28+MIN(MAX(MAX(W390,0)-'Tax Tables'!$B$27,0),'Tax Tables'!$B$29)*'Tax Tables'!$B$30,MIN(MAX(W390,0),'Tax Tables'!$B$23)*'Tax Tables'!$B$24+MIN(MAX(MAX(W390,0)-'Tax Tables'!$B$23,0),'Tax Tables'!$B$25)*'Tax Tables'!$B$26))*Calculator!$B$11,Calculator!$B$12)</f>
        <v>16153.825</v>
      </c>
      <c r="Y390" s="11" t="n">
        <f aca="false">MAX(W390,0)-X390</f>
        <v>178891.175</v>
      </c>
      <c r="Z390" s="11" t="n">
        <f aca="false">MIN(IF(P390&gt;0,Calculator!$B$13,0)+T390+Calculator!$B$14,'Tax Tables'!$B$36)</f>
        <v>20200</v>
      </c>
      <c r="AA390" s="11" t="n">
        <f aca="false">MAX(P390-Z390,0)</f>
        <v>168300</v>
      </c>
      <c r="AB390" s="11" t="n">
        <f aca="false">SUMPRODUCT((AA390&gt;'Tax Tables'!$A$5:$A$17)*(AA390-'Tax Tables'!$A$5:$A$17)*'Tax Tables'!$C$5:$C$17)</f>
        <v>15444</v>
      </c>
      <c r="AC390" s="11" t="n">
        <f aca="false">IF(W390&lt;0,-1E+099,P390-T390-AB390+Y390+(T390+U390)*Calculator!$B$9)</f>
        <v>368267.175</v>
      </c>
    </row>
    <row r="391" customFormat="false" ht="15" hidden="false" customHeight="false" outlineLevel="0" collapsed="false">
      <c r="A391" s="11" t="n">
        <f aca="false">378*$B$3</f>
        <v>189000</v>
      </c>
      <c r="B391" s="11" t="n">
        <f aca="false">0</f>
        <v>0</v>
      </c>
      <c r="C391" s="11" t="n">
        <f aca="false">A391-B391</f>
        <v>189000</v>
      </c>
      <c r="D391" s="11" t="n">
        <f aca="false">IF(Calculator!$B$6="Yes",MIN(B391,'Tax Tables'!$B$31*'Tax Tables'!$B$32),0)</f>
        <v>0</v>
      </c>
      <c r="E391" s="11" t="n">
        <f aca="false">D391*Calculator!$B$7</f>
        <v>0</v>
      </c>
      <c r="F391" s="11" t="n">
        <f aca="false">D391*Calculator!$B$8</f>
        <v>0</v>
      </c>
      <c r="G391" s="11" t="n">
        <f aca="false">IF(B391&gt;0,'Tax Tables'!$B$32*MIN(MAX(B391/'Tax Tables'!$B$32*'Tax Tables'!$B$33,'Tax Tables'!$B$34),'Tax Tables'!$B$35),0)</f>
        <v>0</v>
      </c>
      <c r="H391" s="11" t="n">
        <f aca="false">Calculator!$B$5-A391-F391-G391</f>
        <v>211000</v>
      </c>
      <c r="I391" s="11" t="n">
        <f aca="false">'Tax Tables'!$B$22*(MAX(H391,0)-IF(Calculator!$B$10="Yes",MIN(MAX(H391,0),'Tax Tables'!$B$27)*'Tax Tables'!$B$28+MIN(MAX(MAX(H391,0)-'Tax Tables'!$B$27,0),'Tax Tables'!$B$29)*'Tax Tables'!$B$30,MIN(MAX(H391,0),'Tax Tables'!$B$23)*'Tax Tables'!$B$24+MIN(MAX(MAX(H391,0)-'Tax Tables'!$B$23,0),'Tax Tables'!$B$25)*'Tax Tables'!$B$26))*1-MIN('Tax Tables'!$B$22*(MAX(H391,0)-IF(Calculator!$B$10="Yes",MIN(MAX(H391,0),'Tax Tables'!$B$27)*'Tax Tables'!$B$28+MIN(MAX(MAX(H391,0)-'Tax Tables'!$B$27,0),'Tax Tables'!$B$29)*'Tax Tables'!$B$30,MIN(MAX(H391,0),'Tax Tables'!$B$23)*'Tax Tables'!$B$24+MIN(MAX(MAX(H391,0)-'Tax Tables'!$B$23,0),'Tax Tables'!$B$25)*'Tax Tables'!$B$26))*Calculator!$B$11,Calculator!$B$12)</f>
        <v>18445</v>
      </c>
      <c r="J391" s="11" t="n">
        <f aca="false">MAX(H391,0)-I391</f>
        <v>192555</v>
      </c>
      <c r="K391" s="11" t="n">
        <f aca="false">MIN(IF(A391&gt;0,Calculator!$B$13,0)+E391+Calculator!$B$14,'Tax Tables'!$B$36)</f>
        <v>1000</v>
      </c>
      <c r="L391" s="11" t="n">
        <f aca="false">MAX(A391-K391,0)</f>
        <v>188000</v>
      </c>
      <c r="M391" s="11" t="n">
        <f aca="false">SUMPRODUCT((L391&gt;'Tax Tables'!$A$5:$A$17)*(L391-'Tax Tables'!$A$5:$A$17)*'Tax Tables'!$C$5:$C$17)</f>
        <v>18990</v>
      </c>
      <c r="N391" s="11" t="n">
        <f aca="false">IF(H391&lt;0,-1E+099,A391-E391-M391+J391+(E391+F391)*Calculator!$B$9)</f>
        <v>362565</v>
      </c>
      <c r="O391" s="2"/>
      <c r="P391" s="11" t="n">
        <f aca="false">378*$B$3</f>
        <v>189000</v>
      </c>
      <c r="Q391" s="11" t="n">
        <f aca="false">MIN(P391,'Tax Tables'!$B$31*'Tax Tables'!$B$32)</f>
        <v>96000</v>
      </c>
      <c r="R391" s="11" t="n">
        <f aca="false">P391-Q391</f>
        <v>93000</v>
      </c>
      <c r="S391" s="11" t="n">
        <f aca="false">IF(Calculator!$B$6="Yes",MIN(Q391,'Tax Tables'!$B$31*'Tax Tables'!$B$32),0)</f>
        <v>96000</v>
      </c>
      <c r="T391" s="11" t="n">
        <f aca="false">S391*Calculator!$B$7</f>
        <v>19200</v>
      </c>
      <c r="U391" s="11" t="n">
        <f aca="false">S391*Calculator!$B$8</f>
        <v>16320</v>
      </c>
      <c r="V391" s="11" t="n">
        <f aca="false">IF(Q391&gt;0,'Tax Tables'!$B$32*MIN(MAX(Q391/'Tax Tables'!$B$32*'Tax Tables'!$B$33,'Tax Tables'!$B$34),'Tax Tables'!$B$35),0)</f>
        <v>135</v>
      </c>
      <c r="W391" s="11" t="n">
        <f aca="false">Calculator!$B$5-P391-U391-V391</f>
        <v>194545</v>
      </c>
      <c r="X391" s="11" t="n">
        <f aca="false">'Tax Tables'!$B$22*(MAX(W391,0)-IF(Calculator!$B$10="Yes",MIN(MAX(W391,0),'Tax Tables'!$B$27)*'Tax Tables'!$B$28+MIN(MAX(MAX(W391,0)-'Tax Tables'!$B$27,0),'Tax Tables'!$B$29)*'Tax Tables'!$B$30,MIN(MAX(W391,0),'Tax Tables'!$B$23)*'Tax Tables'!$B$24+MIN(MAX(MAX(W391,0)-'Tax Tables'!$B$23,0),'Tax Tables'!$B$25)*'Tax Tables'!$B$26))*1-MIN('Tax Tables'!$B$22*(MAX(W391,0)-IF(Calculator!$B$10="Yes",MIN(MAX(W391,0),'Tax Tables'!$B$27)*'Tax Tables'!$B$28+MIN(MAX(MAX(W391,0)-'Tax Tables'!$B$27,0),'Tax Tables'!$B$29)*'Tax Tables'!$B$30,MIN(MAX(W391,0),'Tax Tables'!$B$23)*'Tax Tables'!$B$24+MIN(MAX(MAX(W391,0)-'Tax Tables'!$B$23,0),'Tax Tables'!$B$25)*'Tax Tables'!$B$26))*Calculator!$B$11,Calculator!$B$12)</f>
        <v>16111.325</v>
      </c>
      <c r="Y391" s="11" t="n">
        <f aca="false">MAX(W391,0)-X391</f>
        <v>178433.675</v>
      </c>
      <c r="Z391" s="11" t="n">
        <f aca="false">MIN(IF(P391&gt;0,Calculator!$B$13,0)+T391+Calculator!$B$14,'Tax Tables'!$B$36)</f>
        <v>20200</v>
      </c>
      <c r="AA391" s="11" t="n">
        <f aca="false">MAX(P391-Z391,0)</f>
        <v>168800</v>
      </c>
      <c r="AB391" s="11" t="n">
        <f aca="false">SUMPRODUCT((AA391&gt;'Tax Tables'!$A$5:$A$17)*(AA391-'Tax Tables'!$A$5:$A$17)*'Tax Tables'!$C$5:$C$17)</f>
        <v>15534</v>
      </c>
      <c r="AC391" s="11" t="n">
        <f aca="false">IF(W391&lt;0,-1E+099,P391-T391-AB391+Y391+(T391+U391)*Calculator!$B$9)</f>
        <v>368219.675</v>
      </c>
    </row>
    <row r="392" customFormat="false" ht="15" hidden="false" customHeight="false" outlineLevel="0" collapsed="false">
      <c r="A392" s="11" t="n">
        <f aca="false">379*$B$3</f>
        <v>189500</v>
      </c>
      <c r="B392" s="11" t="n">
        <f aca="false">0</f>
        <v>0</v>
      </c>
      <c r="C392" s="11" t="n">
        <f aca="false">A392-B392</f>
        <v>189500</v>
      </c>
      <c r="D392" s="11" t="n">
        <f aca="false">IF(Calculator!$B$6="Yes",MIN(B392,'Tax Tables'!$B$31*'Tax Tables'!$B$32),0)</f>
        <v>0</v>
      </c>
      <c r="E392" s="11" t="n">
        <f aca="false">D392*Calculator!$B$7</f>
        <v>0</v>
      </c>
      <c r="F392" s="11" t="n">
        <f aca="false">D392*Calculator!$B$8</f>
        <v>0</v>
      </c>
      <c r="G392" s="11" t="n">
        <f aca="false">IF(B392&gt;0,'Tax Tables'!$B$32*MIN(MAX(B392/'Tax Tables'!$B$32*'Tax Tables'!$B$33,'Tax Tables'!$B$34),'Tax Tables'!$B$35),0)</f>
        <v>0</v>
      </c>
      <c r="H392" s="11" t="n">
        <f aca="false">Calculator!$B$5-A392-F392-G392</f>
        <v>210500</v>
      </c>
      <c r="I392" s="11" t="n">
        <f aca="false">'Tax Tables'!$B$22*(MAX(H392,0)-IF(Calculator!$B$10="Yes",MIN(MAX(H392,0),'Tax Tables'!$B$27)*'Tax Tables'!$B$28+MIN(MAX(MAX(H392,0)-'Tax Tables'!$B$27,0),'Tax Tables'!$B$29)*'Tax Tables'!$B$30,MIN(MAX(H392,0),'Tax Tables'!$B$23)*'Tax Tables'!$B$24+MIN(MAX(MAX(H392,0)-'Tax Tables'!$B$23,0),'Tax Tables'!$B$25)*'Tax Tables'!$B$26))*1-MIN('Tax Tables'!$B$22*(MAX(H392,0)-IF(Calculator!$B$10="Yes",MIN(MAX(H392,0),'Tax Tables'!$B$27)*'Tax Tables'!$B$28+MIN(MAX(MAX(H392,0)-'Tax Tables'!$B$27,0),'Tax Tables'!$B$29)*'Tax Tables'!$B$30,MIN(MAX(H392,0),'Tax Tables'!$B$23)*'Tax Tables'!$B$24+MIN(MAX(MAX(H392,0)-'Tax Tables'!$B$23,0),'Tax Tables'!$B$25)*'Tax Tables'!$B$26))*Calculator!$B$11,Calculator!$B$12)</f>
        <v>18360</v>
      </c>
      <c r="J392" s="11" t="n">
        <f aca="false">MAX(H392,0)-I392</f>
        <v>192140</v>
      </c>
      <c r="K392" s="11" t="n">
        <f aca="false">MIN(IF(A392&gt;0,Calculator!$B$13,0)+E392+Calculator!$B$14,'Tax Tables'!$B$36)</f>
        <v>1000</v>
      </c>
      <c r="L392" s="11" t="n">
        <f aca="false">MAX(A392-K392,0)</f>
        <v>188500</v>
      </c>
      <c r="M392" s="11" t="n">
        <f aca="false">SUMPRODUCT((L392&gt;'Tax Tables'!$A$5:$A$17)*(L392-'Tax Tables'!$A$5:$A$17)*'Tax Tables'!$C$5:$C$17)</f>
        <v>19080</v>
      </c>
      <c r="N392" s="11" t="n">
        <f aca="false">IF(H392&lt;0,-1E+099,A392-E392-M392+J392+(E392+F392)*Calculator!$B$9)</f>
        <v>362560</v>
      </c>
      <c r="O392" s="2"/>
      <c r="P392" s="11" t="n">
        <f aca="false">379*$B$3</f>
        <v>189500</v>
      </c>
      <c r="Q392" s="11" t="n">
        <f aca="false">MIN(P392,'Tax Tables'!$B$31*'Tax Tables'!$B$32)</f>
        <v>96000</v>
      </c>
      <c r="R392" s="11" t="n">
        <f aca="false">P392-Q392</f>
        <v>93500</v>
      </c>
      <c r="S392" s="11" t="n">
        <f aca="false">IF(Calculator!$B$6="Yes",MIN(Q392,'Tax Tables'!$B$31*'Tax Tables'!$B$32),0)</f>
        <v>96000</v>
      </c>
      <c r="T392" s="11" t="n">
        <f aca="false">S392*Calculator!$B$7</f>
        <v>19200</v>
      </c>
      <c r="U392" s="11" t="n">
        <f aca="false">S392*Calculator!$B$8</f>
        <v>16320</v>
      </c>
      <c r="V392" s="11" t="n">
        <f aca="false">IF(Q392&gt;0,'Tax Tables'!$B$32*MIN(MAX(Q392/'Tax Tables'!$B$32*'Tax Tables'!$B$33,'Tax Tables'!$B$34),'Tax Tables'!$B$35),0)</f>
        <v>135</v>
      </c>
      <c r="W392" s="11" t="n">
        <f aca="false">Calculator!$B$5-P392-U392-V392</f>
        <v>194045</v>
      </c>
      <c r="X392" s="11" t="n">
        <f aca="false">'Tax Tables'!$B$22*(MAX(W392,0)-IF(Calculator!$B$10="Yes",MIN(MAX(W392,0),'Tax Tables'!$B$27)*'Tax Tables'!$B$28+MIN(MAX(MAX(W392,0)-'Tax Tables'!$B$27,0),'Tax Tables'!$B$29)*'Tax Tables'!$B$30,MIN(MAX(W392,0),'Tax Tables'!$B$23)*'Tax Tables'!$B$24+MIN(MAX(MAX(W392,0)-'Tax Tables'!$B$23,0),'Tax Tables'!$B$25)*'Tax Tables'!$B$26))*1-MIN('Tax Tables'!$B$22*(MAX(W392,0)-IF(Calculator!$B$10="Yes",MIN(MAX(W392,0),'Tax Tables'!$B$27)*'Tax Tables'!$B$28+MIN(MAX(MAX(W392,0)-'Tax Tables'!$B$27,0),'Tax Tables'!$B$29)*'Tax Tables'!$B$30,MIN(MAX(W392,0),'Tax Tables'!$B$23)*'Tax Tables'!$B$24+MIN(MAX(MAX(W392,0)-'Tax Tables'!$B$23,0),'Tax Tables'!$B$25)*'Tax Tables'!$B$26))*Calculator!$B$11,Calculator!$B$12)</f>
        <v>16068.825</v>
      </c>
      <c r="Y392" s="11" t="n">
        <f aca="false">MAX(W392,0)-X392</f>
        <v>177976.175</v>
      </c>
      <c r="Z392" s="11" t="n">
        <f aca="false">MIN(IF(P392&gt;0,Calculator!$B$13,0)+T392+Calculator!$B$14,'Tax Tables'!$B$36)</f>
        <v>20200</v>
      </c>
      <c r="AA392" s="11" t="n">
        <f aca="false">MAX(P392-Z392,0)</f>
        <v>169300</v>
      </c>
      <c r="AB392" s="11" t="n">
        <f aca="false">SUMPRODUCT((AA392&gt;'Tax Tables'!$A$5:$A$17)*(AA392-'Tax Tables'!$A$5:$A$17)*'Tax Tables'!$C$5:$C$17)</f>
        <v>15624</v>
      </c>
      <c r="AC392" s="11" t="n">
        <f aca="false">IF(W392&lt;0,-1E+099,P392-T392-AB392+Y392+(T392+U392)*Calculator!$B$9)</f>
        <v>368172.175</v>
      </c>
    </row>
    <row r="393" customFormat="false" ht="15" hidden="false" customHeight="false" outlineLevel="0" collapsed="false">
      <c r="A393" s="11" t="n">
        <f aca="false">380*$B$3</f>
        <v>190000</v>
      </c>
      <c r="B393" s="11" t="n">
        <f aca="false">0</f>
        <v>0</v>
      </c>
      <c r="C393" s="11" t="n">
        <f aca="false">A393-B393</f>
        <v>190000</v>
      </c>
      <c r="D393" s="11" t="n">
        <f aca="false">IF(Calculator!$B$6="Yes",MIN(B393,'Tax Tables'!$B$31*'Tax Tables'!$B$32),0)</f>
        <v>0</v>
      </c>
      <c r="E393" s="11" t="n">
        <f aca="false">D393*Calculator!$B$7</f>
        <v>0</v>
      </c>
      <c r="F393" s="11" t="n">
        <f aca="false">D393*Calculator!$B$8</f>
        <v>0</v>
      </c>
      <c r="G393" s="11" t="n">
        <f aca="false">IF(B393&gt;0,'Tax Tables'!$B$32*MIN(MAX(B393/'Tax Tables'!$B$32*'Tax Tables'!$B$33,'Tax Tables'!$B$34),'Tax Tables'!$B$35),0)</f>
        <v>0</v>
      </c>
      <c r="H393" s="11" t="n">
        <f aca="false">Calculator!$B$5-A393-F393-G393</f>
        <v>210000</v>
      </c>
      <c r="I393" s="11" t="n">
        <f aca="false">'Tax Tables'!$B$22*(MAX(H393,0)-IF(Calculator!$B$10="Yes",MIN(MAX(H393,0),'Tax Tables'!$B$27)*'Tax Tables'!$B$28+MIN(MAX(MAX(H393,0)-'Tax Tables'!$B$27,0),'Tax Tables'!$B$29)*'Tax Tables'!$B$30,MIN(MAX(H393,0),'Tax Tables'!$B$23)*'Tax Tables'!$B$24+MIN(MAX(MAX(H393,0)-'Tax Tables'!$B$23,0),'Tax Tables'!$B$25)*'Tax Tables'!$B$26))*1-MIN('Tax Tables'!$B$22*(MAX(H393,0)-IF(Calculator!$B$10="Yes",MIN(MAX(H393,0),'Tax Tables'!$B$27)*'Tax Tables'!$B$28+MIN(MAX(MAX(H393,0)-'Tax Tables'!$B$27,0),'Tax Tables'!$B$29)*'Tax Tables'!$B$30,MIN(MAX(H393,0),'Tax Tables'!$B$23)*'Tax Tables'!$B$24+MIN(MAX(MAX(H393,0)-'Tax Tables'!$B$23,0),'Tax Tables'!$B$25)*'Tax Tables'!$B$26))*Calculator!$B$11,Calculator!$B$12)</f>
        <v>18275</v>
      </c>
      <c r="J393" s="11" t="n">
        <f aca="false">MAX(H393,0)-I393</f>
        <v>191725</v>
      </c>
      <c r="K393" s="11" t="n">
        <f aca="false">MIN(IF(A393&gt;0,Calculator!$B$13,0)+E393+Calculator!$B$14,'Tax Tables'!$B$36)</f>
        <v>1000</v>
      </c>
      <c r="L393" s="11" t="n">
        <f aca="false">MAX(A393-K393,0)</f>
        <v>189000</v>
      </c>
      <c r="M393" s="11" t="n">
        <f aca="false">SUMPRODUCT((L393&gt;'Tax Tables'!$A$5:$A$17)*(L393-'Tax Tables'!$A$5:$A$17)*'Tax Tables'!$C$5:$C$17)</f>
        <v>19170</v>
      </c>
      <c r="N393" s="11" t="n">
        <f aca="false">IF(H393&lt;0,-1E+099,A393-E393-M393+J393+(E393+F393)*Calculator!$B$9)</f>
        <v>362555</v>
      </c>
      <c r="O393" s="2"/>
      <c r="P393" s="11" t="n">
        <f aca="false">380*$B$3</f>
        <v>190000</v>
      </c>
      <c r="Q393" s="11" t="n">
        <f aca="false">MIN(P393,'Tax Tables'!$B$31*'Tax Tables'!$B$32)</f>
        <v>96000</v>
      </c>
      <c r="R393" s="11" t="n">
        <f aca="false">P393-Q393</f>
        <v>94000</v>
      </c>
      <c r="S393" s="11" t="n">
        <f aca="false">IF(Calculator!$B$6="Yes",MIN(Q393,'Tax Tables'!$B$31*'Tax Tables'!$B$32),0)</f>
        <v>96000</v>
      </c>
      <c r="T393" s="11" t="n">
        <f aca="false">S393*Calculator!$B$7</f>
        <v>19200</v>
      </c>
      <c r="U393" s="11" t="n">
        <f aca="false">S393*Calculator!$B$8</f>
        <v>16320</v>
      </c>
      <c r="V393" s="11" t="n">
        <f aca="false">IF(Q393&gt;0,'Tax Tables'!$B$32*MIN(MAX(Q393/'Tax Tables'!$B$32*'Tax Tables'!$B$33,'Tax Tables'!$B$34),'Tax Tables'!$B$35),0)</f>
        <v>135</v>
      </c>
      <c r="W393" s="11" t="n">
        <f aca="false">Calculator!$B$5-P393-U393-V393</f>
        <v>193545</v>
      </c>
      <c r="X393" s="11" t="n">
        <f aca="false">'Tax Tables'!$B$22*(MAX(W393,0)-IF(Calculator!$B$10="Yes",MIN(MAX(W393,0),'Tax Tables'!$B$27)*'Tax Tables'!$B$28+MIN(MAX(MAX(W393,0)-'Tax Tables'!$B$27,0),'Tax Tables'!$B$29)*'Tax Tables'!$B$30,MIN(MAX(W393,0),'Tax Tables'!$B$23)*'Tax Tables'!$B$24+MIN(MAX(MAX(W393,0)-'Tax Tables'!$B$23,0),'Tax Tables'!$B$25)*'Tax Tables'!$B$26))*1-MIN('Tax Tables'!$B$22*(MAX(W393,0)-IF(Calculator!$B$10="Yes",MIN(MAX(W393,0),'Tax Tables'!$B$27)*'Tax Tables'!$B$28+MIN(MAX(MAX(W393,0)-'Tax Tables'!$B$27,0),'Tax Tables'!$B$29)*'Tax Tables'!$B$30,MIN(MAX(W393,0),'Tax Tables'!$B$23)*'Tax Tables'!$B$24+MIN(MAX(MAX(W393,0)-'Tax Tables'!$B$23,0),'Tax Tables'!$B$25)*'Tax Tables'!$B$26))*Calculator!$B$11,Calculator!$B$12)</f>
        <v>16026.325</v>
      </c>
      <c r="Y393" s="11" t="n">
        <f aca="false">MAX(W393,0)-X393</f>
        <v>177518.675</v>
      </c>
      <c r="Z393" s="11" t="n">
        <f aca="false">MIN(IF(P393&gt;0,Calculator!$B$13,0)+T393+Calculator!$B$14,'Tax Tables'!$B$36)</f>
        <v>20200</v>
      </c>
      <c r="AA393" s="11" t="n">
        <f aca="false">MAX(P393-Z393,0)</f>
        <v>169800</v>
      </c>
      <c r="AB393" s="11" t="n">
        <f aca="false">SUMPRODUCT((AA393&gt;'Tax Tables'!$A$5:$A$17)*(AA393-'Tax Tables'!$A$5:$A$17)*'Tax Tables'!$C$5:$C$17)</f>
        <v>15714</v>
      </c>
      <c r="AC393" s="11" t="n">
        <f aca="false">IF(W393&lt;0,-1E+099,P393-T393-AB393+Y393+(T393+U393)*Calculator!$B$9)</f>
        <v>368124.675</v>
      </c>
    </row>
    <row r="394" customFormat="false" ht="15" hidden="false" customHeight="false" outlineLevel="0" collapsed="false">
      <c r="A394" s="11" t="n">
        <f aca="false">381*$B$3</f>
        <v>190500</v>
      </c>
      <c r="B394" s="11" t="n">
        <f aca="false">0</f>
        <v>0</v>
      </c>
      <c r="C394" s="11" t="n">
        <f aca="false">A394-B394</f>
        <v>190500</v>
      </c>
      <c r="D394" s="11" t="n">
        <f aca="false">IF(Calculator!$B$6="Yes",MIN(B394,'Tax Tables'!$B$31*'Tax Tables'!$B$32),0)</f>
        <v>0</v>
      </c>
      <c r="E394" s="11" t="n">
        <f aca="false">D394*Calculator!$B$7</f>
        <v>0</v>
      </c>
      <c r="F394" s="11" t="n">
        <f aca="false">D394*Calculator!$B$8</f>
        <v>0</v>
      </c>
      <c r="G394" s="11" t="n">
        <f aca="false">IF(B394&gt;0,'Tax Tables'!$B$32*MIN(MAX(B394/'Tax Tables'!$B$32*'Tax Tables'!$B$33,'Tax Tables'!$B$34),'Tax Tables'!$B$35),0)</f>
        <v>0</v>
      </c>
      <c r="H394" s="11" t="n">
        <f aca="false">Calculator!$B$5-A394-F394-G394</f>
        <v>209500</v>
      </c>
      <c r="I394" s="11" t="n">
        <f aca="false">'Tax Tables'!$B$22*(MAX(H394,0)-IF(Calculator!$B$10="Yes",MIN(MAX(H394,0),'Tax Tables'!$B$27)*'Tax Tables'!$B$28+MIN(MAX(MAX(H394,0)-'Tax Tables'!$B$27,0),'Tax Tables'!$B$29)*'Tax Tables'!$B$30,MIN(MAX(H394,0),'Tax Tables'!$B$23)*'Tax Tables'!$B$24+MIN(MAX(MAX(H394,0)-'Tax Tables'!$B$23,0),'Tax Tables'!$B$25)*'Tax Tables'!$B$26))*1-MIN('Tax Tables'!$B$22*(MAX(H394,0)-IF(Calculator!$B$10="Yes",MIN(MAX(H394,0),'Tax Tables'!$B$27)*'Tax Tables'!$B$28+MIN(MAX(MAX(H394,0)-'Tax Tables'!$B$27,0),'Tax Tables'!$B$29)*'Tax Tables'!$B$30,MIN(MAX(H394,0),'Tax Tables'!$B$23)*'Tax Tables'!$B$24+MIN(MAX(MAX(H394,0)-'Tax Tables'!$B$23,0),'Tax Tables'!$B$25)*'Tax Tables'!$B$26))*Calculator!$B$11,Calculator!$B$12)</f>
        <v>18190</v>
      </c>
      <c r="J394" s="11" t="n">
        <f aca="false">MAX(H394,0)-I394</f>
        <v>191310</v>
      </c>
      <c r="K394" s="11" t="n">
        <f aca="false">MIN(IF(A394&gt;0,Calculator!$B$13,0)+E394+Calculator!$B$14,'Tax Tables'!$B$36)</f>
        <v>1000</v>
      </c>
      <c r="L394" s="11" t="n">
        <f aca="false">MAX(A394-K394,0)</f>
        <v>189500</v>
      </c>
      <c r="M394" s="11" t="n">
        <f aca="false">SUMPRODUCT((L394&gt;'Tax Tables'!$A$5:$A$17)*(L394-'Tax Tables'!$A$5:$A$17)*'Tax Tables'!$C$5:$C$17)</f>
        <v>19260</v>
      </c>
      <c r="N394" s="11" t="n">
        <f aca="false">IF(H394&lt;0,-1E+099,A394-E394-M394+J394+(E394+F394)*Calculator!$B$9)</f>
        <v>362550</v>
      </c>
      <c r="O394" s="2"/>
      <c r="P394" s="11" t="n">
        <f aca="false">381*$B$3</f>
        <v>190500</v>
      </c>
      <c r="Q394" s="11" t="n">
        <f aca="false">MIN(P394,'Tax Tables'!$B$31*'Tax Tables'!$B$32)</f>
        <v>96000</v>
      </c>
      <c r="R394" s="11" t="n">
        <f aca="false">P394-Q394</f>
        <v>94500</v>
      </c>
      <c r="S394" s="11" t="n">
        <f aca="false">IF(Calculator!$B$6="Yes",MIN(Q394,'Tax Tables'!$B$31*'Tax Tables'!$B$32),0)</f>
        <v>96000</v>
      </c>
      <c r="T394" s="11" t="n">
        <f aca="false">S394*Calculator!$B$7</f>
        <v>19200</v>
      </c>
      <c r="U394" s="11" t="n">
        <f aca="false">S394*Calculator!$B$8</f>
        <v>16320</v>
      </c>
      <c r="V394" s="11" t="n">
        <f aca="false">IF(Q394&gt;0,'Tax Tables'!$B$32*MIN(MAX(Q394/'Tax Tables'!$B$32*'Tax Tables'!$B$33,'Tax Tables'!$B$34),'Tax Tables'!$B$35),0)</f>
        <v>135</v>
      </c>
      <c r="W394" s="11" t="n">
        <f aca="false">Calculator!$B$5-P394-U394-V394</f>
        <v>193045</v>
      </c>
      <c r="X394" s="11" t="n">
        <f aca="false">'Tax Tables'!$B$22*(MAX(W394,0)-IF(Calculator!$B$10="Yes",MIN(MAX(W394,0),'Tax Tables'!$B$27)*'Tax Tables'!$B$28+MIN(MAX(MAX(W394,0)-'Tax Tables'!$B$27,0),'Tax Tables'!$B$29)*'Tax Tables'!$B$30,MIN(MAX(W394,0),'Tax Tables'!$B$23)*'Tax Tables'!$B$24+MIN(MAX(MAX(W394,0)-'Tax Tables'!$B$23,0),'Tax Tables'!$B$25)*'Tax Tables'!$B$26))*1-MIN('Tax Tables'!$B$22*(MAX(W394,0)-IF(Calculator!$B$10="Yes",MIN(MAX(W394,0),'Tax Tables'!$B$27)*'Tax Tables'!$B$28+MIN(MAX(MAX(W394,0)-'Tax Tables'!$B$27,0),'Tax Tables'!$B$29)*'Tax Tables'!$B$30,MIN(MAX(W394,0),'Tax Tables'!$B$23)*'Tax Tables'!$B$24+MIN(MAX(MAX(W394,0)-'Tax Tables'!$B$23,0),'Tax Tables'!$B$25)*'Tax Tables'!$B$26))*Calculator!$B$11,Calculator!$B$12)</f>
        <v>15983.825</v>
      </c>
      <c r="Y394" s="11" t="n">
        <f aca="false">MAX(W394,0)-X394</f>
        <v>177061.175</v>
      </c>
      <c r="Z394" s="11" t="n">
        <f aca="false">MIN(IF(P394&gt;0,Calculator!$B$13,0)+T394+Calculator!$B$14,'Tax Tables'!$B$36)</f>
        <v>20200</v>
      </c>
      <c r="AA394" s="11" t="n">
        <f aca="false">MAX(P394-Z394,0)</f>
        <v>170300</v>
      </c>
      <c r="AB394" s="11" t="n">
        <f aca="false">SUMPRODUCT((AA394&gt;'Tax Tables'!$A$5:$A$17)*(AA394-'Tax Tables'!$A$5:$A$17)*'Tax Tables'!$C$5:$C$17)</f>
        <v>15804</v>
      </c>
      <c r="AC394" s="11" t="n">
        <f aca="false">IF(W394&lt;0,-1E+099,P394-T394-AB394+Y394+(T394+U394)*Calculator!$B$9)</f>
        <v>368077.175</v>
      </c>
    </row>
    <row r="395" customFormat="false" ht="15" hidden="false" customHeight="false" outlineLevel="0" collapsed="false">
      <c r="A395" s="11" t="n">
        <f aca="false">382*$B$3</f>
        <v>191000</v>
      </c>
      <c r="B395" s="11" t="n">
        <f aca="false">0</f>
        <v>0</v>
      </c>
      <c r="C395" s="11" t="n">
        <f aca="false">A395-B395</f>
        <v>191000</v>
      </c>
      <c r="D395" s="11" t="n">
        <f aca="false">IF(Calculator!$B$6="Yes",MIN(B395,'Tax Tables'!$B$31*'Tax Tables'!$B$32),0)</f>
        <v>0</v>
      </c>
      <c r="E395" s="11" t="n">
        <f aca="false">D395*Calculator!$B$7</f>
        <v>0</v>
      </c>
      <c r="F395" s="11" t="n">
        <f aca="false">D395*Calculator!$B$8</f>
        <v>0</v>
      </c>
      <c r="G395" s="11" t="n">
        <f aca="false">IF(B395&gt;0,'Tax Tables'!$B$32*MIN(MAX(B395/'Tax Tables'!$B$32*'Tax Tables'!$B$33,'Tax Tables'!$B$34),'Tax Tables'!$B$35),0)</f>
        <v>0</v>
      </c>
      <c r="H395" s="11" t="n">
        <f aca="false">Calculator!$B$5-A395-F395-G395</f>
        <v>209000</v>
      </c>
      <c r="I395" s="11" t="n">
        <f aca="false">'Tax Tables'!$B$22*(MAX(H395,0)-IF(Calculator!$B$10="Yes",MIN(MAX(H395,0),'Tax Tables'!$B$27)*'Tax Tables'!$B$28+MIN(MAX(MAX(H395,0)-'Tax Tables'!$B$27,0),'Tax Tables'!$B$29)*'Tax Tables'!$B$30,MIN(MAX(H395,0),'Tax Tables'!$B$23)*'Tax Tables'!$B$24+MIN(MAX(MAX(H395,0)-'Tax Tables'!$B$23,0),'Tax Tables'!$B$25)*'Tax Tables'!$B$26))*1-MIN('Tax Tables'!$B$22*(MAX(H395,0)-IF(Calculator!$B$10="Yes",MIN(MAX(H395,0),'Tax Tables'!$B$27)*'Tax Tables'!$B$28+MIN(MAX(MAX(H395,0)-'Tax Tables'!$B$27,0),'Tax Tables'!$B$29)*'Tax Tables'!$B$30,MIN(MAX(H395,0),'Tax Tables'!$B$23)*'Tax Tables'!$B$24+MIN(MAX(MAX(H395,0)-'Tax Tables'!$B$23,0),'Tax Tables'!$B$25)*'Tax Tables'!$B$26))*Calculator!$B$11,Calculator!$B$12)</f>
        <v>18105</v>
      </c>
      <c r="J395" s="11" t="n">
        <f aca="false">MAX(H395,0)-I395</f>
        <v>190895</v>
      </c>
      <c r="K395" s="11" t="n">
        <f aca="false">MIN(IF(A395&gt;0,Calculator!$B$13,0)+E395+Calculator!$B$14,'Tax Tables'!$B$36)</f>
        <v>1000</v>
      </c>
      <c r="L395" s="11" t="n">
        <f aca="false">MAX(A395-K395,0)</f>
        <v>190000</v>
      </c>
      <c r="M395" s="11" t="n">
        <f aca="false">SUMPRODUCT((L395&gt;'Tax Tables'!$A$5:$A$17)*(L395-'Tax Tables'!$A$5:$A$17)*'Tax Tables'!$C$5:$C$17)</f>
        <v>19350</v>
      </c>
      <c r="N395" s="11" t="n">
        <f aca="false">IF(H395&lt;0,-1E+099,A395-E395-M395+J395+(E395+F395)*Calculator!$B$9)</f>
        <v>362545</v>
      </c>
      <c r="O395" s="2"/>
      <c r="P395" s="11" t="n">
        <f aca="false">382*$B$3</f>
        <v>191000</v>
      </c>
      <c r="Q395" s="11" t="n">
        <f aca="false">MIN(P395,'Tax Tables'!$B$31*'Tax Tables'!$B$32)</f>
        <v>96000</v>
      </c>
      <c r="R395" s="11" t="n">
        <f aca="false">P395-Q395</f>
        <v>95000</v>
      </c>
      <c r="S395" s="11" t="n">
        <f aca="false">IF(Calculator!$B$6="Yes",MIN(Q395,'Tax Tables'!$B$31*'Tax Tables'!$B$32),0)</f>
        <v>96000</v>
      </c>
      <c r="T395" s="11" t="n">
        <f aca="false">S395*Calculator!$B$7</f>
        <v>19200</v>
      </c>
      <c r="U395" s="11" t="n">
        <f aca="false">S395*Calculator!$B$8</f>
        <v>16320</v>
      </c>
      <c r="V395" s="11" t="n">
        <f aca="false">IF(Q395&gt;0,'Tax Tables'!$B$32*MIN(MAX(Q395/'Tax Tables'!$B$32*'Tax Tables'!$B$33,'Tax Tables'!$B$34),'Tax Tables'!$B$35),0)</f>
        <v>135</v>
      </c>
      <c r="W395" s="11" t="n">
        <f aca="false">Calculator!$B$5-P395-U395-V395</f>
        <v>192545</v>
      </c>
      <c r="X395" s="11" t="n">
        <f aca="false">'Tax Tables'!$B$22*(MAX(W395,0)-IF(Calculator!$B$10="Yes",MIN(MAX(W395,0),'Tax Tables'!$B$27)*'Tax Tables'!$B$28+MIN(MAX(MAX(W395,0)-'Tax Tables'!$B$27,0),'Tax Tables'!$B$29)*'Tax Tables'!$B$30,MIN(MAX(W395,0),'Tax Tables'!$B$23)*'Tax Tables'!$B$24+MIN(MAX(MAX(W395,0)-'Tax Tables'!$B$23,0),'Tax Tables'!$B$25)*'Tax Tables'!$B$26))*1-MIN('Tax Tables'!$B$22*(MAX(W395,0)-IF(Calculator!$B$10="Yes",MIN(MAX(W395,0),'Tax Tables'!$B$27)*'Tax Tables'!$B$28+MIN(MAX(MAX(W395,0)-'Tax Tables'!$B$27,0),'Tax Tables'!$B$29)*'Tax Tables'!$B$30,MIN(MAX(W395,0),'Tax Tables'!$B$23)*'Tax Tables'!$B$24+MIN(MAX(MAX(W395,0)-'Tax Tables'!$B$23,0),'Tax Tables'!$B$25)*'Tax Tables'!$B$26))*Calculator!$B$11,Calculator!$B$12)</f>
        <v>15941.325</v>
      </c>
      <c r="Y395" s="11" t="n">
        <f aca="false">MAX(W395,0)-X395</f>
        <v>176603.675</v>
      </c>
      <c r="Z395" s="11" t="n">
        <f aca="false">MIN(IF(P395&gt;0,Calculator!$B$13,0)+T395+Calculator!$B$14,'Tax Tables'!$B$36)</f>
        <v>20200</v>
      </c>
      <c r="AA395" s="11" t="n">
        <f aca="false">MAX(P395-Z395,0)</f>
        <v>170800</v>
      </c>
      <c r="AB395" s="11" t="n">
        <f aca="false">SUMPRODUCT((AA395&gt;'Tax Tables'!$A$5:$A$17)*(AA395-'Tax Tables'!$A$5:$A$17)*'Tax Tables'!$C$5:$C$17)</f>
        <v>15894</v>
      </c>
      <c r="AC395" s="11" t="n">
        <f aca="false">IF(W395&lt;0,-1E+099,P395-T395-AB395+Y395+(T395+U395)*Calculator!$B$9)</f>
        <v>368029.675</v>
      </c>
    </row>
    <row r="396" customFormat="false" ht="15" hidden="false" customHeight="false" outlineLevel="0" collapsed="false">
      <c r="A396" s="11" t="n">
        <f aca="false">383*$B$3</f>
        <v>191500</v>
      </c>
      <c r="B396" s="11" t="n">
        <f aca="false">0</f>
        <v>0</v>
      </c>
      <c r="C396" s="11" t="n">
        <f aca="false">A396-B396</f>
        <v>191500</v>
      </c>
      <c r="D396" s="11" t="n">
        <f aca="false">IF(Calculator!$B$6="Yes",MIN(B396,'Tax Tables'!$B$31*'Tax Tables'!$B$32),0)</f>
        <v>0</v>
      </c>
      <c r="E396" s="11" t="n">
        <f aca="false">D396*Calculator!$B$7</f>
        <v>0</v>
      </c>
      <c r="F396" s="11" t="n">
        <f aca="false">D396*Calculator!$B$8</f>
        <v>0</v>
      </c>
      <c r="G396" s="11" t="n">
        <f aca="false">IF(B396&gt;0,'Tax Tables'!$B$32*MIN(MAX(B396/'Tax Tables'!$B$32*'Tax Tables'!$B$33,'Tax Tables'!$B$34),'Tax Tables'!$B$35),0)</f>
        <v>0</v>
      </c>
      <c r="H396" s="11" t="n">
        <f aca="false">Calculator!$B$5-A396-F396-G396</f>
        <v>208500</v>
      </c>
      <c r="I396" s="11" t="n">
        <f aca="false">'Tax Tables'!$B$22*(MAX(H396,0)-IF(Calculator!$B$10="Yes",MIN(MAX(H396,0),'Tax Tables'!$B$27)*'Tax Tables'!$B$28+MIN(MAX(MAX(H396,0)-'Tax Tables'!$B$27,0),'Tax Tables'!$B$29)*'Tax Tables'!$B$30,MIN(MAX(H396,0),'Tax Tables'!$B$23)*'Tax Tables'!$B$24+MIN(MAX(MAX(H396,0)-'Tax Tables'!$B$23,0),'Tax Tables'!$B$25)*'Tax Tables'!$B$26))*1-MIN('Tax Tables'!$B$22*(MAX(H396,0)-IF(Calculator!$B$10="Yes",MIN(MAX(H396,0),'Tax Tables'!$B$27)*'Tax Tables'!$B$28+MIN(MAX(MAX(H396,0)-'Tax Tables'!$B$27,0),'Tax Tables'!$B$29)*'Tax Tables'!$B$30,MIN(MAX(H396,0),'Tax Tables'!$B$23)*'Tax Tables'!$B$24+MIN(MAX(MAX(H396,0)-'Tax Tables'!$B$23,0),'Tax Tables'!$B$25)*'Tax Tables'!$B$26))*Calculator!$B$11,Calculator!$B$12)</f>
        <v>18020</v>
      </c>
      <c r="J396" s="11" t="n">
        <f aca="false">MAX(H396,0)-I396</f>
        <v>190480</v>
      </c>
      <c r="K396" s="11" t="n">
        <f aca="false">MIN(IF(A396&gt;0,Calculator!$B$13,0)+E396+Calculator!$B$14,'Tax Tables'!$B$36)</f>
        <v>1000</v>
      </c>
      <c r="L396" s="11" t="n">
        <f aca="false">MAX(A396-K396,0)</f>
        <v>190500</v>
      </c>
      <c r="M396" s="11" t="n">
        <f aca="false">SUMPRODUCT((L396&gt;'Tax Tables'!$A$5:$A$17)*(L396-'Tax Tables'!$A$5:$A$17)*'Tax Tables'!$C$5:$C$17)</f>
        <v>19440</v>
      </c>
      <c r="N396" s="11" t="n">
        <f aca="false">IF(H396&lt;0,-1E+099,A396-E396-M396+J396+(E396+F396)*Calculator!$B$9)</f>
        <v>362540</v>
      </c>
      <c r="O396" s="2"/>
      <c r="P396" s="11" t="n">
        <f aca="false">383*$B$3</f>
        <v>191500</v>
      </c>
      <c r="Q396" s="11" t="n">
        <f aca="false">MIN(P396,'Tax Tables'!$B$31*'Tax Tables'!$B$32)</f>
        <v>96000</v>
      </c>
      <c r="R396" s="11" t="n">
        <f aca="false">P396-Q396</f>
        <v>95500</v>
      </c>
      <c r="S396" s="11" t="n">
        <f aca="false">IF(Calculator!$B$6="Yes",MIN(Q396,'Tax Tables'!$B$31*'Tax Tables'!$B$32),0)</f>
        <v>96000</v>
      </c>
      <c r="T396" s="11" t="n">
        <f aca="false">S396*Calculator!$B$7</f>
        <v>19200</v>
      </c>
      <c r="U396" s="11" t="n">
        <f aca="false">S396*Calculator!$B$8</f>
        <v>16320</v>
      </c>
      <c r="V396" s="11" t="n">
        <f aca="false">IF(Q396&gt;0,'Tax Tables'!$B$32*MIN(MAX(Q396/'Tax Tables'!$B$32*'Tax Tables'!$B$33,'Tax Tables'!$B$34),'Tax Tables'!$B$35),0)</f>
        <v>135</v>
      </c>
      <c r="W396" s="11" t="n">
        <f aca="false">Calculator!$B$5-P396-U396-V396</f>
        <v>192045</v>
      </c>
      <c r="X396" s="11" t="n">
        <f aca="false">'Tax Tables'!$B$22*(MAX(W396,0)-IF(Calculator!$B$10="Yes",MIN(MAX(W396,0),'Tax Tables'!$B$27)*'Tax Tables'!$B$28+MIN(MAX(MAX(W396,0)-'Tax Tables'!$B$27,0),'Tax Tables'!$B$29)*'Tax Tables'!$B$30,MIN(MAX(W396,0),'Tax Tables'!$B$23)*'Tax Tables'!$B$24+MIN(MAX(MAX(W396,0)-'Tax Tables'!$B$23,0),'Tax Tables'!$B$25)*'Tax Tables'!$B$26))*1-MIN('Tax Tables'!$B$22*(MAX(W396,0)-IF(Calculator!$B$10="Yes",MIN(MAX(W396,0),'Tax Tables'!$B$27)*'Tax Tables'!$B$28+MIN(MAX(MAX(W396,0)-'Tax Tables'!$B$27,0),'Tax Tables'!$B$29)*'Tax Tables'!$B$30,MIN(MAX(W396,0),'Tax Tables'!$B$23)*'Tax Tables'!$B$24+MIN(MAX(MAX(W396,0)-'Tax Tables'!$B$23,0),'Tax Tables'!$B$25)*'Tax Tables'!$B$26))*Calculator!$B$11,Calculator!$B$12)</f>
        <v>15898.825</v>
      </c>
      <c r="Y396" s="11" t="n">
        <f aca="false">MAX(W396,0)-X396</f>
        <v>176146.175</v>
      </c>
      <c r="Z396" s="11" t="n">
        <f aca="false">MIN(IF(P396&gt;0,Calculator!$B$13,0)+T396+Calculator!$B$14,'Tax Tables'!$B$36)</f>
        <v>20200</v>
      </c>
      <c r="AA396" s="11" t="n">
        <f aca="false">MAX(P396-Z396,0)</f>
        <v>171300</v>
      </c>
      <c r="AB396" s="11" t="n">
        <f aca="false">SUMPRODUCT((AA396&gt;'Tax Tables'!$A$5:$A$17)*(AA396-'Tax Tables'!$A$5:$A$17)*'Tax Tables'!$C$5:$C$17)</f>
        <v>15984</v>
      </c>
      <c r="AC396" s="11" t="n">
        <f aca="false">IF(W396&lt;0,-1E+099,P396-T396-AB396+Y396+(T396+U396)*Calculator!$B$9)</f>
        <v>367982.175</v>
      </c>
    </row>
    <row r="397" customFormat="false" ht="15" hidden="false" customHeight="false" outlineLevel="0" collapsed="false">
      <c r="A397" s="11" t="n">
        <f aca="false">384*$B$3</f>
        <v>192000</v>
      </c>
      <c r="B397" s="11" t="n">
        <f aca="false">0</f>
        <v>0</v>
      </c>
      <c r="C397" s="11" t="n">
        <f aca="false">A397-B397</f>
        <v>192000</v>
      </c>
      <c r="D397" s="11" t="n">
        <f aca="false">IF(Calculator!$B$6="Yes",MIN(B397,'Tax Tables'!$B$31*'Tax Tables'!$B$32),0)</f>
        <v>0</v>
      </c>
      <c r="E397" s="11" t="n">
        <f aca="false">D397*Calculator!$B$7</f>
        <v>0</v>
      </c>
      <c r="F397" s="11" t="n">
        <f aca="false">D397*Calculator!$B$8</f>
        <v>0</v>
      </c>
      <c r="G397" s="11" t="n">
        <f aca="false">IF(B397&gt;0,'Tax Tables'!$B$32*MIN(MAX(B397/'Tax Tables'!$B$32*'Tax Tables'!$B$33,'Tax Tables'!$B$34),'Tax Tables'!$B$35),0)</f>
        <v>0</v>
      </c>
      <c r="H397" s="11" t="n">
        <f aca="false">Calculator!$B$5-A397-F397-G397</f>
        <v>208000</v>
      </c>
      <c r="I397" s="11" t="n">
        <f aca="false">'Tax Tables'!$B$22*(MAX(H397,0)-IF(Calculator!$B$10="Yes",MIN(MAX(H397,0),'Tax Tables'!$B$27)*'Tax Tables'!$B$28+MIN(MAX(MAX(H397,0)-'Tax Tables'!$B$27,0),'Tax Tables'!$B$29)*'Tax Tables'!$B$30,MIN(MAX(H397,0),'Tax Tables'!$B$23)*'Tax Tables'!$B$24+MIN(MAX(MAX(H397,0)-'Tax Tables'!$B$23,0),'Tax Tables'!$B$25)*'Tax Tables'!$B$26))*1-MIN('Tax Tables'!$B$22*(MAX(H397,0)-IF(Calculator!$B$10="Yes",MIN(MAX(H397,0),'Tax Tables'!$B$27)*'Tax Tables'!$B$28+MIN(MAX(MAX(H397,0)-'Tax Tables'!$B$27,0),'Tax Tables'!$B$29)*'Tax Tables'!$B$30,MIN(MAX(H397,0),'Tax Tables'!$B$23)*'Tax Tables'!$B$24+MIN(MAX(MAX(H397,0)-'Tax Tables'!$B$23,0),'Tax Tables'!$B$25)*'Tax Tables'!$B$26))*Calculator!$B$11,Calculator!$B$12)</f>
        <v>17935</v>
      </c>
      <c r="J397" s="11" t="n">
        <f aca="false">MAX(H397,0)-I397</f>
        <v>190065</v>
      </c>
      <c r="K397" s="11" t="n">
        <f aca="false">MIN(IF(A397&gt;0,Calculator!$B$13,0)+E397+Calculator!$B$14,'Tax Tables'!$B$36)</f>
        <v>1000</v>
      </c>
      <c r="L397" s="11" t="n">
        <f aca="false">MAX(A397-K397,0)</f>
        <v>191000</v>
      </c>
      <c r="M397" s="11" t="n">
        <f aca="false">SUMPRODUCT((L397&gt;'Tax Tables'!$A$5:$A$17)*(L397-'Tax Tables'!$A$5:$A$17)*'Tax Tables'!$C$5:$C$17)</f>
        <v>19530</v>
      </c>
      <c r="N397" s="11" t="n">
        <f aca="false">IF(H397&lt;0,-1E+099,A397-E397-M397+J397+(E397+F397)*Calculator!$B$9)</f>
        <v>362535</v>
      </c>
      <c r="O397" s="2"/>
      <c r="P397" s="11" t="n">
        <f aca="false">384*$B$3</f>
        <v>192000</v>
      </c>
      <c r="Q397" s="11" t="n">
        <f aca="false">MIN(P397,'Tax Tables'!$B$31*'Tax Tables'!$B$32)</f>
        <v>96000</v>
      </c>
      <c r="R397" s="11" t="n">
        <f aca="false">P397-Q397</f>
        <v>96000</v>
      </c>
      <c r="S397" s="11" t="n">
        <f aca="false">IF(Calculator!$B$6="Yes",MIN(Q397,'Tax Tables'!$B$31*'Tax Tables'!$B$32),0)</f>
        <v>96000</v>
      </c>
      <c r="T397" s="11" t="n">
        <f aca="false">S397*Calculator!$B$7</f>
        <v>19200</v>
      </c>
      <c r="U397" s="11" t="n">
        <f aca="false">S397*Calculator!$B$8</f>
        <v>16320</v>
      </c>
      <c r="V397" s="11" t="n">
        <f aca="false">IF(Q397&gt;0,'Tax Tables'!$B$32*MIN(MAX(Q397/'Tax Tables'!$B$32*'Tax Tables'!$B$33,'Tax Tables'!$B$34),'Tax Tables'!$B$35),0)</f>
        <v>135</v>
      </c>
      <c r="W397" s="11" t="n">
        <f aca="false">Calculator!$B$5-P397-U397-V397</f>
        <v>191545</v>
      </c>
      <c r="X397" s="11" t="n">
        <f aca="false">'Tax Tables'!$B$22*(MAX(W397,0)-IF(Calculator!$B$10="Yes",MIN(MAX(W397,0),'Tax Tables'!$B$27)*'Tax Tables'!$B$28+MIN(MAX(MAX(W397,0)-'Tax Tables'!$B$27,0),'Tax Tables'!$B$29)*'Tax Tables'!$B$30,MIN(MAX(W397,0),'Tax Tables'!$B$23)*'Tax Tables'!$B$24+MIN(MAX(MAX(W397,0)-'Tax Tables'!$B$23,0),'Tax Tables'!$B$25)*'Tax Tables'!$B$26))*1-MIN('Tax Tables'!$B$22*(MAX(W397,0)-IF(Calculator!$B$10="Yes",MIN(MAX(W397,0),'Tax Tables'!$B$27)*'Tax Tables'!$B$28+MIN(MAX(MAX(W397,0)-'Tax Tables'!$B$27,0),'Tax Tables'!$B$29)*'Tax Tables'!$B$30,MIN(MAX(W397,0),'Tax Tables'!$B$23)*'Tax Tables'!$B$24+MIN(MAX(MAX(W397,0)-'Tax Tables'!$B$23,0),'Tax Tables'!$B$25)*'Tax Tables'!$B$26))*Calculator!$B$11,Calculator!$B$12)</f>
        <v>15856.325</v>
      </c>
      <c r="Y397" s="11" t="n">
        <f aca="false">MAX(W397,0)-X397</f>
        <v>175688.675</v>
      </c>
      <c r="Z397" s="11" t="n">
        <f aca="false">MIN(IF(P397&gt;0,Calculator!$B$13,0)+T397+Calculator!$B$14,'Tax Tables'!$B$36)</f>
        <v>20200</v>
      </c>
      <c r="AA397" s="11" t="n">
        <f aca="false">MAX(P397-Z397,0)</f>
        <v>171800</v>
      </c>
      <c r="AB397" s="11" t="n">
        <f aca="false">SUMPRODUCT((AA397&gt;'Tax Tables'!$A$5:$A$17)*(AA397-'Tax Tables'!$A$5:$A$17)*'Tax Tables'!$C$5:$C$17)</f>
        <v>16074</v>
      </c>
      <c r="AC397" s="11" t="n">
        <f aca="false">IF(W397&lt;0,-1E+099,P397-T397-AB397+Y397+(T397+U397)*Calculator!$B$9)</f>
        <v>367934.675</v>
      </c>
    </row>
    <row r="398" customFormat="false" ht="15" hidden="false" customHeight="false" outlineLevel="0" collapsed="false">
      <c r="A398" s="11" t="n">
        <f aca="false">385*$B$3</f>
        <v>192500</v>
      </c>
      <c r="B398" s="11" t="n">
        <f aca="false">0</f>
        <v>0</v>
      </c>
      <c r="C398" s="11" t="n">
        <f aca="false">A398-B398</f>
        <v>192500</v>
      </c>
      <c r="D398" s="11" t="n">
        <f aca="false">IF(Calculator!$B$6="Yes",MIN(B398,'Tax Tables'!$B$31*'Tax Tables'!$B$32),0)</f>
        <v>0</v>
      </c>
      <c r="E398" s="11" t="n">
        <f aca="false">D398*Calculator!$B$7</f>
        <v>0</v>
      </c>
      <c r="F398" s="11" t="n">
        <f aca="false">D398*Calculator!$B$8</f>
        <v>0</v>
      </c>
      <c r="G398" s="11" t="n">
        <f aca="false">IF(B398&gt;0,'Tax Tables'!$B$32*MIN(MAX(B398/'Tax Tables'!$B$32*'Tax Tables'!$B$33,'Tax Tables'!$B$34),'Tax Tables'!$B$35),0)</f>
        <v>0</v>
      </c>
      <c r="H398" s="11" t="n">
        <f aca="false">Calculator!$B$5-A398-F398-G398</f>
        <v>207500</v>
      </c>
      <c r="I398" s="11" t="n">
        <f aca="false">'Tax Tables'!$B$22*(MAX(H398,0)-IF(Calculator!$B$10="Yes",MIN(MAX(H398,0),'Tax Tables'!$B$27)*'Tax Tables'!$B$28+MIN(MAX(MAX(H398,0)-'Tax Tables'!$B$27,0),'Tax Tables'!$B$29)*'Tax Tables'!$B$30,MIN(MAX(H398,0),'Tax Tables'!$B$23)*'Tax Tables'!$B$24+MIN(MAX(MAX(H398,0)-'Tax Tables'!$B$23,0),'Tax Tables'!$B$25)*'Tax Tables'!$B$26))*1-MIN('Tax Tables'!$B$22*(MAX(H398,0)-IF(Calculator!$B$10="Yes",MIN(MAX(H398,0),'Tax Tables'!$B$27)*'Tax Tables'!$B$28+MIN(MAX(MAX(H398,0)-'Tax Tables'!$B$27,0),'Tax Tables'!$B$29)*'Tax Tables'!$B$30,MIN(MAX(H398,0),'Tax Tables'!$B$23)*'Tax Tables'!$B$24+MIN(MAX(MAX(H398,0)-'Tax Tables'!$B$23,0),'Tax Tables'!$B$25)*'Tax Tables'!$B$26))*Calculator!$B$11,Calculator!$B$12)</f>
        <v>17850</v>
      </c>
      <c r="J398" s="11" t="n">
        <f aca="false">MAX(H398,0)-I398</f>
        <v>189650</v>
      </c>
      <c r="K398" s="11" t="n">
        <f aca="false">MIN(IF(A398&gt;0,Calculator!$B$13,0)+E398+Calculator!$B$14,'Tax Tables'!$B$36)</f>
        <v>1000</v>
      </c>
      <c r="L398" s="11" t="n">
        <f aca="false">MAX(A398-K398,0)</f>
        <v>191500</v>
      </c>
      <c r="M398" s="11" t="n">
        <f aca="false">SUMPRODUCT((L398&gt;'Tax Tables'!$A$5:$A$17)*(L398-'Tax Tables'!$A$5:$A$17)*'Tax Tables'!$C$5:$C$17)</f>
        <v>19620</v>
      </c>
      <c r="N398" s="11" t="n">
        <f aca="false">IF(H398&lt;0,-1E+099,A398-E398-M398+J398+(E398+F398)*Calculator!$B$9)</f>
        <v>362530</v>
      </c>
      <c r="O398" s="2"/>
      <c r="P398" s="11" t="n">
        <f aca="false">385*$B$3</f>
        <v>192500</v>
      </c>
      <c r="Q398" s="11" t="n">
        <f aca="false">MIN(P398,'Tax Tables'!$B$31*'Tax Tables'!$B$32)</f>
        <v>96000</v>
      </c>
      <c r="R398" s="11" t="n">
        <f aca="false">P398-Q398</f>
        <v>96500</v>
      </c>
      <c r="S398" s="11" t="n">
        <f aca="false">IF(Calculator!$B$6="Yes",MIN(Q398,'Tax Tables'!$B$31*'Tax Tables'!$B$32),0)</f>
        <v>96000</v>
      </c>
      <c r="T398" s="11" t="n">
        <f aca="false">S398*Calculator!$B$7</f>
        <v>19200</v>
      </c>
      <c r="U398" s="11" t="n">
        <f aca="false">S398*Calculator!$B$8</f>
        <v>16320</v>
      </c>
      <c r="V398" s="11" t="n">
        <f aca="false">IF(Q398&gt;0,'Tax Tables'!$B$32*MIN(MAX(Q398/'Tax Tables'!$B$32*'Tax Tables'!$B$33,'Tax Tables'!$B$34),'Tax Tables'!$B$35),0)</f>
        <v>135</v>
      </c>
      <c r="W398" s="11" t="n">
        <f aca="false">Calculator!$B$5-P398-U398-V398</f>
        <v>191045</v>
      </c>
      <c r="X398" s="11" t="n">
        <f aca="false">'Tax Tables'!$B$22*(MAX(W398,0)-IF(Calculator!$B$10="Yes",MIN(MAX(W398,0),'Tax Tables'!$B$27)*'Tax Tables'!$B$28+MIN(MAX(MAX(W398,0)-'Tax Tables'!$B$27,0),'Tax Tables'!$B$29)*'Tax Tables'!$B$30,MIN(MAX(W398,0),'Tax Tables'!$B$23)*'Tax Tables'!$B$24+MIN(MAX(MAX(W398,0)-'Tax Tables'!$B$23,0),'Tax Tables'!$B$25)*'Tax Tables'!$B$26))*1-MIN('Tax Tables'!$B$22*(MAX(W398,0)-IF(Calculator!$B$10="Yes",MIN(MAX(W398,0),'Tax Tables'!$B$27)*'Tax Tables'!$B$28+MIN(MAX(MAX(W398,0)-'Tax Tables'!$B$27,0),'Tax Tables'!$B$29)*'Tax Tables'!$B$30,MIN(MAX(W398,0),'Tax Tables'!$B$23)*'Tax Tables'!$B$24+MIN(MAX(MAX(W398,0)-'Tax Tables'!$B$23,0),'Tax Tables'!$B$25)*'Tax Tables'!$B$26))*Calculator!$B$11,Calculator!$B$12)</f>
        <v>15813.825</v>
      </c>
      <c r="Y398" s="11" t="n">
        <f aca="false">MAX(W398,0)-X398</f>
        <v>175231.175</v>
      </c>
      <c r="Z398" s="11" t="n">
        <f aca="false">MIN(IF(P398&gt;0,Calculator!$B$13,0)+T398+Calculator!$B$14,'Tax Tables'!$B$36)</f>
        <v>20200</v>
      </c>
      <c r="AA398" s="11" t="n">
        <f aca="false">MAX(P398-Z398,0)</f>
        <v>172300</v>
      </c>
      <c r="AB398" s="11" t="n">
        <f aca="false">SUMPRODUCT((AA398&gt;'Tax Tables'!$A$5:$A$17)*(AA398-'Tax Tables'!$A$5:$A$17)*'Tax Tables'!$C$5:$C$17)</f>
        <v>16164</v>
      </c>
      <c r="AC398" s="11" t="n">
        <f aca="false">IF(W398&lt;0,-1E+099,P398-T398-AB398+Y398+(T398+U398)*Calculator!$B$9)</f>
        <v>367887.175</v>
      </c>
    </row>
    <row r="399" customFormat="false" ht="15" hidden="false" customHeight="false" outlineLevel="0" collapsed="false">
      <c r="A399" s="11" t="n">
        <f aca="false">386*$B$3</f>
        <v>193000</v>
      </c>
      <c r="B399" s="11" t="n">
        <f aca="false">0</f>
        <v>0</v>
      </c>
      <c r="C399" s="11" t="n">
        <f aca="false">A399-B399</f>
        <v>193000</v>
      </c>
      <c r="D399" s="11" t="n">
        <f aca="false">IF(Calculator!$B$6="Yes",MIN(B399,'Tax Tables'!$B$31*'Tax Tables'!$B$32),0)</f>
        <v>0</v>
      </c>
      <c r="E399" s="11" t="n">
        <f aca="false">D399*Calculator!$B$7</f>
        <v>0</v>
      </c>
      <c r="F399" s="11" t="n">
        <f aca="false">D399*Calculator!$B$8</f>
        <v>0</v>
      </c>
      <c r="G399" s="11" t="n">
        <f aca="false">IF(B399&gt;0,'Tax Tables'!$B$32*MIN(MAX(B399/'Tax Tables'!$B$32*'Tax Tables'!$B$33,'Tax Tables'!$B$34),'Tax Tables'!$B$35),0)</f>
        <v>0</v>
      </c>
      <c r="H399" s="11" t="n">
        <f aca="false">Calculator!$B$5-A399-F399-G399</f>
        <v>207000</v>
      </c>
      <c r="I399" s="11" t="n">
        <f aca="false">'Tax Tables'!$B$22*(MAX(H399,0)-IF(Calculator!$B$10="Yes",MIN(MAX(H399,0),'Tax Tables'!$B$27)*'Tax Tables'!$B$28+MIN(MAX(MAX(H399,0)-'Tax Tables'!$B$27,0),'Tax Tables'!$B$29)*'Tax Tables'!$B$30,MIN(MAX(H399,0),'Tax Tables'!$B$23)*'Tax Tables'!$B$24+MIN(MAX(MAX(H399,0)-'Tax Tables'!$B$23,0),'Tax Tables'!$B$25)*'Tax Tables'!$B$26))*1-MIN('Tax Tables'!$B$22*(MAX(H399,0)-IF(Calculator!$B$10="Yes",MIN(MAX(H399,0),'Tax Tables'!$B$27)*'Tax Tables'!$B$28+MIN(MAX(MAX(H399,0)-'Tax Tables'!$B$27,0),'Tax Tables'!$B$29)*'Tax Tables'!$B$30,MIN(MAX(H399,0),'Tax Tables'!$B$23)*'Tax Tables'!$B$24+MIN(MAX(MAX(H399,0)-'Tax Tables'!$B$23,0),'Tax Tables'!$B$25)*'Tax Tables'!$B$26))*Calculator!$B$11,Calculator!$B$12)</f>
        <v>17765</v>
      </c>
      <c r="J399" s="11" t="n">
        <f aca="false">MAX(H399,0)-I399</f>
        <v>189235</v>
      </c>
      <c r="K399" s="11" t="n">
        <f aca="false">MIN(IF(A399&gt;0,Calculator!$B$13,0)+E399+Calculator!$B$14,'Tax Tables'!$B$36)</f>
        <v>1000</v>
      </c>
      <c r="L399" s="11" t="n">
        <f aca="false">MAX(A399-K399,0)</f>
        <v>192000</v>
      </c>
      <c r="M399" s="11" t="n">
        <f aca="false">SUMPRODUCT((L399&gt;'Tax Tables'!$A$5:$A$17)*(L399-'Tax Tables'!$A$5:$A$17)*'Tax Tables'!$C$5:$C$17)</f>
        <v>19710</v>
      </c>
      <c r="N399" s="11" t="n">
        <f aca="false">IF(H399&lt;0,-1E+099,A399-E399-M399+J399+(E399+F399)*Calculator!$B$9)</f>
        <v>362525</v>
      </c>
      <c r="O399" s="2"/>
      <c r="P399" s="11" t="n">
        <f aca="false">386*$B$3</f>
        <v>193000</v>
      </c>
      <c r="Q399" s="11" t="n">
        <f aca="false">MIN(P399,'Tax Tables'!$B$31*'Tax Tables'!$B$32)</f>
        <v>96000</v>
      </c>
      <c r="R399" s="11" t="n">
        <f aca="false">P399-Q399</f>
        <v>97000</v>
      </c>
      <c r="S399" s="11" t="n">
        <f aca="false">IF(Calculator!$B$6="Yes",MIN(Q399,'Tax Tables'!$B$31*'Tax Tables'!$B$32),0)</f>
        <v>96000</v>
      </c>
      <c r="T399" s="11" t="n">
        <f aca="false">S399*Calculator!$B$7</f>
        <v>19200</v>
      </c>
      <c r="U399" s="11" t="n">
        <f aca="false">S399*Calculator!$B$8</f>
        <v>16320</v>
      </c>
      <c r="V399" s="11" t="n">
        <f aca="false">IF(Q399&gt;0,'Tax Tables'!$B$32*MIN(MAX(Q399/'Tax Tables'!$B$32*'Tax Tables'!$B$33,'Tax Tables'!$B$34),'Tax Tables'!$B$35),0)</f>
        <v>135</v>
      </c>
      <c r="W399" s="11" t="n">
        <f aca="false">Calculator!$B$5-P399-U399-V399</f>
        <v>190545</v>
      </c>
      <c r="X399" s="11" t="n">
        <f aca="false">'Tax Tables'!$B$22*(MAX(W399,0)-IF(Calculator!$B$10="Yes",MIN(MAX(W399,0),'Tax Tables'!$B$27)*'Tax Tables'!$B$28+MIN(MAX(MAX(W399,0)-'Tax Tables'!$B$27,0),'Tax Tables'!$B$29)*'Tax Tables'!$B$30,MIN(MAX(W399,0),'Tax Tables'!$B$23)*'Tax Tables'!$B$24+MIN(MAX(MAX(W399,0)-'Tax Tables'!$B$23,0),'Tax Tables'!$B$25)*'Tax Tables'!$B$26))*1-MIN('Tax Tables'!$B$22*(MAX(W399,0)-IF(Calculator!$B$10="Yes",MIN(MAX(W399,0),'Tax Tables'!$B$27)*'Tax Tables'!$B$28+MIN(MAX(MAX(W399,0)-'Tax Tables'!$B$27,0),'Tax Tables'!$B$29)*'Tax Tables'!$B$30,MIN(MAX(W399,0),'Tax Tables'!$B$23)*'Tax Tables'!$B$24+MIN(MAX(MAX(W399,0)-'Tax Tables'!$B$23,0),'Tax Tables'!$B$25)*'Tax Tables'!$B$26))*Calculator!$B$11,Calculator!$B$12)</f>
        <v>15771.325</v>
      </c>
      <c r="Y399" s="11" t="n">
        <f aca="false">MAX(W399,0)-X399</f>
        <v>174773.675</v>
      </c>
      <c r="Z399" s="11" t="n">
        <f aca="false">MIN(IF(P399&gt;0,Calculator!$B$13,0)+T399+Calculator!$B$14,'Tax Tables'!$B$36)</f>
        <v>20200</v>
      </c>
      <c r="AA399" s="11" t="n">
        <f aca="false">MAX(P399-Z399,0)</f>
        <v>172800</v>
      </c>
      <c r="AB399" s="11" t="n">
        <f aca="false">SUMPRODUCT((AA399&gt;'Tax Tables'!$A$5:$A$17)*(AA399-'Tax Tables'!$A$5:$A$17)*'Tax Tables'!$C$5:$C$17)</f>
        <v>16254</v>
      </c>
      <c r="AC399" s="11" t="n">
        <f aca="false">IF(W399&lt;0,-1E+099,P399-T399-AB399+Y399+(T399+U399)*Calculator!$B$9)</f>
        <v>367839.675</v>
      </c>
    </row>
    <row r="400" customFormat="false" ht="15" hidden="false" customHeight="false" outlineLevel="0" collapsed="false">
      <c r="A400" s="11" t="n">
        <f aca="false">387*$B$3</f>
        <v>193500</v>
      </c>
      <c r="B400" s="11" t="n">
        <f aca="false">0</f>
        <v>0</v>
      </c>
      <c r="C400" s="11" t="n">
        <f aca="false">A400-B400</f>
        <v>193500</v>
      </c>
      <c r="D400" s="11" t="n">
        <f aca="false">IF(Calculator!$B$6="Yes",MIN(B400,'Tax Tables'!$B$31*'Tax Tables'!$B$32),0)</f>
        <v>0</v>
      </c>
      <c r="E400" s="11" t="n">
        <f aca="false">D400*Calculator!$B$7</f>
        <v>0</v>
      </c>
      <c r="F400" s="11" t="n">
        <f aca="false">D400*Calculator!$B$8</f>
        <v>0</v>
      </c>
      <c r="G400" s="11" t="n">
        <f aca="false">IF(B400&gt;0,'Tax Tables'!$B$32*MIN(MAX(B400/'Tax Tables'!$B$32*'Tax Tables'!$B$33,'Tax Tables'!$B$34),'Tax Tables'!$B$35),0)</f>
        <v>0</v>
      </c>
      <c r="H400" s="11" t="n">
        <f aca="false">Calculator!$B$5-A400-F400-G400</f>
        <v>206500</v>
      </c>
      <c r="I400" s="11" t="n">
        <f aca="false">'Tax Tables'!$B$22*(MAX(H400,0)-IF(Calculator!$B$10="Yes",MIN(MAX(H400,0),'Tax Tables'!$B$27)*'Tax Tables'!$B$28+MIN(MAX(MAX(H400,0)-'Tax Tables'!$B$27,0),'Tax Tables'!$B$29)*'Tax Tables'!$B$30,MIN(MAX(H400,0),'Tax Tables'!$B$23)*'Tax Tables'!$B$24+MIN(MAX(MAX(H400,0)-'Tax Tables'!$B$23,0),'Tax Tables'!$B$25)*'Tax Tables'!$B$26))*1-MIN('Tax Tables'!$B$22*(MAX(H400,0)-IF(Calculator!$B$10="Yes",MIN(MAX(H400,0),'Tax Tables'!$B$27)*'Tax Tables'!$B$28+MIN(MAX(MAX(H400,0)-'Tax Tables'!$B$27,0),'Tax Tables'!$B$29)*'Tax Tables'!$B$30,MIN(MAX(H400,0),'Tax Tables'!$B$23)*'Tax Tables'!$B$24+MIN(MAX(MAX(H400,0)-'Tax Tables'!$B$23,0),'Tax Tables'!$B$25)*'Tax Tables'!$B$26))*Calculator!$B$11,Calculator!$B$12)</f>
        <v>17680</v>
      </c>
      <c r="J400" s="11" t="n">
        <f aca="false">MAX(H400,0)-I400</f>
        <v>188820</v>
      </c>
      <c r="K400" s="11" t="n">
        <f aca="false">MIN(IF(A400&gt;0,Calculator!$B$13,0)+E400+Calculator!$B$14,'Tax Tables'!$B$36)</f>
        <v>1000</v>
      </c>
      <c r="L400" s="11" t="n">
        <f aca="false">MAX(A400-K400,0)</f>
        <v>192500</v>
      </c>
      <c r="M400" s="11" t="n">
        <f aca="false">SUMPRODUCT((L400&gt;'Tax Tables'!$A$5:$A$17)*(L400-'Tax Tables'!$A$5:$A$17)*'Tax Tables'!$C$5:$C$17)</f>
        <v>19800</v>
      </c>
      <c r="N400" s="11" t="n">
        <f aca="false">IF(H400&lt;0,-1E+099,A400-E400-M400+J400+(E400+F400)*Calculator!$B$9)</f>
        <v>362520</v>
      </c>
      <c r="O400" s="2"/>
      <c r="P400" s="11" t="n">
        <f aca="false">387*$B$3</f>
        <v>193500</v>
      </c>
      <c r="Q400" s="11" t="n">
        <f aca="false">MIN(P400,'Tax Tables'!$B$31*'Tax Tables'!$B$32)</f>
        <v>96000</v>
      </c>
      <c r="R400" s="11" t="n">
        <f aca="false">P400-Q400</f>
        <v>97500</v>
      </c>
      <c r="S400" s="11" t="n">
        <f aca="false">IF(Calculator!$B$6="Yes",MIN(Q400,'Tax Tables'!$B$31*'Tax Tables'!$B$32),0)</f>
        <v>96000</v>
      </c>
      <c r="T400" s="11" t="n">
        <f aca="false">S400*Calculator!$B$7</f>
        <v>19200</v>
      </c>
      <c r="U400" s="11" t="n">
        <f aca="false">S400*Calculator!$B$8</f>
        <v>16320</v>
      </c>
      <c r="V400" s="11" t="n">
        <f aca="false">IF(Q400&gt;0,'Tax Tables'!$B$32*MIN(MAX(Q400/'Tax Tables'!$B$32*'Tax Tables'!$B$33,'Tax Tables'!$B$34),'Tax Tables'!$B$35),0)</f>
        <v>135</v>
      </c>
      <c r="W400" s="11" t="n">
        <f aca="false">Calculator!$B$5-P400-U400-V400</f>
        <v>190045</v>
      </c>
      <c r="X400" s="11" t="n">
        <f aca="false">'Tax Tables'!$B$22*(MAX(W400,0)-IF(Calculator!$B$10="Yes",MIN(MAX(W400,0),'Tax Tables'!$B$27)*'Tax Tables'!$B$28+MIN(MAX(MAX(W400,0)-'Tax Tables'!$B$27,0),'Tax Tables'!$B$29)*'Tax Tables'!$B$30,MIN(MAX(W400,0),'Tax Tables'!$B$23)*'Tax Tables'!$B$24+MIN(MAX(MAX(W400,0)-'Tax Tables'!$B$23,0),'Tax Tables'!$B$25)*'Tax Tables'!$B$26))*1-MIN('Tax Tables'!$B$22*(MAX(W400,0)-IF(Calculator!$B$10="Yes",MIN(MAX(W400,0),'Tax Tables'!$B$27)*'Tax Tables'!$B$28+MIN(MAX(MAX(W400,0)-'Tax Tables'!$B$27,0),'Tax Tables'!$B$29)*'Tax Tables'!$B$30,MIN(MAX(W400,0),'Tax Tables'!$B$23)*'Tax Tables'!$B$24+MIN(MAX(MAX(W400,0)-'Tax Tables'!$B$23,0),'Tax Tables'!$B$25)*'Tax Tables'!$B$26))*Calculator!$B$11,Calculator!$B$12)</f>
        <v>15728.825</v>
      </c>
      <c r="Y400" s="11" t="n">
        <f aca="false">MAX(W400,0)-X400</f>
        <v>174316.175</v>
      </c>
      <c r="Z400" s="11" t="n">
        <f aca="false">MIN(IF(P400&gt;0,Calculator!$B$13,0)+T400+Calculator!$B$14,'Tax Tables'!$B$36)</f>
        <v>20200</v>
      </c>
      <c r="AA400" s="11" t="n">
        <f aca="false">MAX(P400-Z400,0)</f>
        <v>173300</v>
      </c>
      <c r="AB400" s="11" t="n">
        <f aca="false">SUMPRODUCT((AA400&gt;'Tax Tables'!$A$5:$A$17)*(AA400-'Tax Tables'!$A$5:$A$17)*'Tax Tables'!$C$5:$C$17)</f>
        <v>16344</v>
      </c>
      <c r="AC400" s="11" t="n">
        <f aca="false">IF(W400&lt;0,-1E+099,P400-T400-AB400+Y400+(T400+U400)*Calculator!$B$9)</f>
        <v>367792.175</v>
      </c>
    </row>
    <row r="401" customFormat="false" ht="15" hidden="false" customHeight="false" outlineLevel="0" collapsed="false">
      <c r="A401" s="11" t="n">
        <f aca="false">388*$B$3</f>
        <v>194000</v>
      </c>
      <c r="B401" s="11" t="n">
        <f aca="false">0</f>
        <v>0</v>
      </c>
      <c r="C401" s="11" t="n">
        <f aca="false">A401-B401</f>
        <v>194000</v>
      </c>
      <c r="D401" s="11" t="n">
        <f aca="false">IF(Calculator!$B$6="Yes",MIN(B401,'Tax Tables'!$B$31*'Tax Tables'!$B$32),0)</f>
        <v>0</v>
      </c>
      <c r="E401" s="11" t="n">
        <f aca="false">D401*Calculator!$B$7</f>
        <v>0</v>
      </c>
      <c r="F401" s="11" t="n">
        <f aca="false">D401*Calculator!$B$8</f>
        <v>0</v>
      </c>
      <c r="G401" s="11" t="n">
        <f aca="false">IF(B401&gt;0,'Tax Tables'!$B$32*MIN(MAX(B401/'Tax Tables'!$B$32*'Tax Tables'!$B$33,'Tax Tables'!$B$34),'Tax Tables'!$B$35),0)</f>
        <v>0</v>
      </c>
      <c r="H401" s="11" t="n">
        <f aca="false">Calculator!$B$5-A401-F401-G401</f>
        <v>206000</v>
      </c>
      <c r="I401" s="11" t="n">
        <f aca="false">'Tax Tables'!$B$22*(MAX(H401,0)-IF(Calculator!$B$10="Yes",MIN(MAX(H401,0),'Tax Tables'!$B$27)*'Tax Tables'!$B$28+MIN(MAX(MAX(H401,0)-'Tax Tables'!$B$27,0),'Tax Tables'!$B$29)*'Tax Tables'!$B$30,MIN(MAX(H401,0),'Tax Tables'!$B$23)*'Tax Tables'!$B$24+MIN(MAX(MAX(H401,0)-'Tax Tables'!$B$23,0),'Tax Tables'!$B$25)*'Tax Tables'!$B$26))*1-MIN('Tax Tables'!$B$22*(MAX(H401,0)-IF(Calculator!$B$10="Yes",MIN(MAX(H401,0),'Tax Tables'!$B$27)*'Tax Tables'!$B$28+MIN(MAX(MAX(H401,0)-'Tax Tables'!$B$27,0),'Tax Tables'!$B$29)*'Tax Tables'!$B$30,MIN(MAX(H401,0),'Tax Tables'!$B$23)*'Tax Tables'!$B$24+MIN(MAX(MAX(H401,0)-'Tax Tables'!$B$23,0),'Tax Tables'!$B$25)*'Tax Tables'!$B$26))*Calculator!$B$11,Calculator!$B$12)</f>
        <v>17595</v>
      </c>
      <c r="J401" s="11" t="n">
        <f aca="false">MAX(H401,0)-I401</f>
        <v>188405</v>
      </c>
      <c r="K401" s="11" t="n">
        <f aca="false">MIN(IF(A401&gt;0,Calculator!$B$13,0)+E401+Calculator!$B$14,'Tax Tables'!$B$36)</f>
        <v>1000</v>
      </c>
      <c r="L401" s="11" t="n">
        <f aca="false">MAX(A401-K401,0)</f>
        <v>193000</v>
      </c>
      <c r="M401" s="11" t="n">
        <f aca="false">SUMPRODUCT((L401&gt;'Tax Tables'!$A$5:$A$17)*(L401-'Tax Tables'!$A$5:$A$17)*'Tax Tables'!$C$5:$C$17)</f>
        <v>19890</v>
      </c>
      <c r="N401" s="11" t="n">
        <f aca="false">IF(H401&lt;0,-1E+099,A401-E401-M401+J401+(E401+F401)*Calculator!$B$9)</f>
        <v>362515</v>
      </c>
      <c r="O401" s="2"/>
      <c r="P401" s="11" t="n">
        <f aca="false">388*$B$3</f>
        <v>194000</v>
      </c>
      <c r="Q401" s="11" t="n">
        <f aca="false">MIN(P401,'Tax Tables'!$B$31*'Tax Tables'!$B$32)</f>
        <v>96000</v>
      </c>
      <c r="R401" s="11" t="n">
        <f aca="false">P401-Q401</f>
        <v>98000</v>
      </c>
      <c r="S401" s="11" t="n">
        <f aca="false">IF(Calculator!$B$6="Yes",MIN(Q401,'Tax Tables'!$B$31*'Tax Tables'!$B$32),0)</f>
        <v>96000</v>
      </c>
      <c r="T401" s="11" t="n">
        <f aca="false">S401*Calculator!$B$7</f>
        <v>19200</v>
      </c>
      <c r="U401" s="11" t="n">
        <f aca="false">S401*Calculator!$B$8</f>
        <v>16320</v>
      </c>
      <c r="V401" s="11" t="n">
        <f aca="false">IF(Q401&gt;0,'Tax Tables'!$B$32*MIN(MAX(Q401/'Tax Tables'!$B$32*'Tax Tables'!$B$33,'Tax Tables'!$B$34),'Tax Tables'!$B$35),0)</f>
        <v>135</v>
      </c>
      <c r="W401" s="11" t="n">
        <f aca="false">Calculator!$B$5-P401-U401-V401</f>
        <v>189545</v>
      </c>
      <c r="X401" s="11" t="n">
        <f aca="false">'Tax Tables'!$B$22*(MAX(W401,0)-IF(Calculator!$B$10="Yes",MIN(MAX(W401,0),'Tax Tables'!$B$27)*'Tax Tables'!$B$28+MIN(MAX(MAX(W401,0)-'Tax Tables'!$B$27,0),'Tax Tables'!$B$29)*'Tax Tables'!$B$30,MIN(MAX(W401,0),'Tax Tables'!$B$23)*'Tax Tables'!$B$24+MIN(MAX(MAX(W401,0)-'Tax Tables'!$B$23,0),'Tax Tables'!$B$25)*'Tax Tables'!$B$26))*1-MIN('Tax Tables'!$B$22*(MAX(W401,0)-IF(Calculator!$B$10="Yes",MIN(MAX(W401,0),'Tax Tables'!$B$27)*'Tax Tables'!$B$28+MIN(MAX(MAX(W401,0)-'Tax Tables'!$B$27,0),'Tax Tables'!$B$29)*'Tax Tables'!$B$30,MIN(MAX(W401,0),'Tax Tables'!$B$23)*'Tax Tables'!$B$24+MIN(MAX(MAX(W401,0)-'Tax Tables'!$B$23,0),'Tax Tables'!$B$25)*'Tax Tables'!$B$26))*Calculator!$B$11,Calculator!$B$12)</f>
        <v>15686.325</v>
      </c>
      <c r="Y401" s="11" t="n">
        <f aca="false">MAX(W401,0)-X401</f>
        <v>173858.675</v>
      </c>
      <c r="Z401" s="11" t="n">
        <f aca="false">MIN(IF(P401&gt;0,Calculator!$B$13,0)+T401+Calculator!$B$14,'Tax Tables'!$B$36)</f>
        <v>20200</v>
      </c>
      <c r="AA401" s="11" t="n">
        <f aca="false">MAX(P401-Z401,0)</f>
        <v>173800</v>
      </c>
      <c r="AB401" s="11" t="n">
        <f aca="false">SUMPRODUCT((AA401&gt;'Tax Tables'!$A$5:$A$17)*(AA401-'Tax Tables'!$A$5:$A$17)*'Tax Tables'!$C$5:$C$17)</f>
        <v>16434</v>
      </c>
      <c r="AC401" s="11" t="n">
        <f aca="false">IF(W401&lt;0,-1E+099,P401-T401-AB401+Y401+(T401+U401)*Calculator!$B$9)</f>
        <v>367744.675</v>
      </c>
    </row>
    <row r="402" customFormat="false" ht="15" hidden="false" customHeight="false" outlineLevel="0" collapsed="false">
      <c r="A402" s="11" t="n">
        <f aca="false">389*$B$3</f>
        <v>194500</v>
      </c>
      <c r="B402" s="11" t="n">
        <f aca="false">0</f>
        <v>0</v>
      </c>
      <c r="C402" s="11" t="n">
        <f aca="false">A402-B402</f>
        <v>194500</v>
      </c>
      <c r="D402" s="11" t="n">
        <f aca="false">IF(Calculator!$B$6="Yes",MIN(B402,'Tax Tables'!$B$31*'Tax Tables'!$B$32),0)</f>
        <v>0</v>
      </c>
      <c r="E402" s="11" t="n">
        <f aca="false">D402*Calculator!$B$7</f>
        <v>0</v>
      </c>
      <c r="F402" s="11" t="n">
        <f aca="false">D402*Calculator!$B$8</f>
        <v>0</v>
      </c>
      <c r="G402" s="11" t="n">
        <f aca="false">IF(B402&gt;0,'Tax Tables'!$B$32*MIN(MAX(B402/'Tax Tables'!$B$32*'Tax Tables'!$B$33,'Tax Tables'!$B$34),'Tax Tables'!$B$35),0)</f>
        <v>0</v>
      </c>
      <c r="H402" s="11" t="n">
        <f aca="false">Calculator!$B$5-A402-F402-G402</f>
        <v>205500</v>
      </c>
      <c r="I402" s="11" t="n">
        <f aca="false">'Tax Tables'!$B$22*(MAX(H402,0)-IF(Calculator!$B$10="Yes",MIN(MAX(H402,0),'Tax Tables'!$B$27)*'Tax Tables'!$B$28+MIN(MAX(MAX(H402,0)-'Tax Tables'!$B$27,0),'Tax Tables'!$B$29)*'Tax Tables'!$B$30,MIN(MAX(H402,0),'Tax Tables'!$B$23)*'Tax Tables'!$B$24+MIN(MAX(MAX(H402,0)-'Tax Tables'!$B$23,0),'Tax Tables'!$B$25)*'Tax Tables'!$B$26))*1-MIN('Tax Tables'!$B$22*(MAX(H402,0)-IF(Calculator!$B$10="Yes",MIN(MAX(H402,0),'Tax Tables'!$B$27)*'Tax Tables'!$B$28+MIN(MAX(MAX(H402,0)-'Tax Tables'!$B$27,0),'Tax Tables'!$B$29)*'Tax Tables'!$B$30,MIN(MAX(H402,0),'Tax Tables'!$B$23)*'Tax Tables'!$B$24+MIN(MAX(MAX(H402,0)-'Tax Tables'!$B$23,0),'Tax Tables'!$B$25)*'Tax Tables'!$B$26))*Calculator!$B$11,Calculator!$B$12)</f>
        <v>17510</v>
      </c>
      <c r="J402" s="11" t="n">
        <f aca="false">MAX(H402,0)-I402</f>
        <v>187990</v>
      </c>
      <c r="K402" s="11" t="n">
        <f aca="false">MIN(IF(A402&gt;0,Calculator!$B$13,0)+E402+Calculator!$B$14,'Tax Tables'!$B$36)</f>
        <v>1000</v>
      </c>
      <c r="L402" s="11" t="n">
        <f aca="false">MAX(A402-K402,0)</f>
        <v>193500</v>
      </c>
      <c r="M402" s="11" t="n">
        <f aca="false">SUMPRODUCT((L402&gt;'Tax Tables'!$A$5:$A$17)*(L402-'Tax Tables'!$A$5:$A$17)*'Tax Tables'!$C$5:$C$17)</f>
        <v>19980</v>
      </c>
      <c r="N402" s="11" t="n">
        <f aca="false">IF(H402&lt;0,-1E+099,A402-E402-M402+J402+(E402+F402)*Calculator!$B$9)</f>
        <v>362510</v>
      </c>
      <c r="O402" s="2"/>
      <c r="P402" s="11" t="n">
        <f aca="false">389*$B$3</f>
        <v>194500</v>
      </c>
      <c r="Q402" s="11" t="n">
        <f aca="false">MIN(P402,'Tax Tables'!$B$31*'Tax Tables'!$B$32)</f>
        <v>96000</v>
      </c>
      <c r="R402" s="11" t="n">
        <f aca="false">P402-Q402</f>
        <v>98500</v>
      </c>
      <c r="S402" s="11" t="n">
        <f aca="false">IF(Calculator!$B$6="Yes",MIN(Q402,'Tax Tables'!$B$31*'Tax Tables'!$B$32),0)</f>
        <v>96000</v>
      </c>
      <c r="T402" s="11" t="n">
        <f aca="false">S402*Calculator!$B$7</f>
        <v>19200</v>
      </c>
      <c r="U402" s="11" t="n">
        <f aca="false">S402*Calculator!$B$8</f>
        <v>16320</v>
      </c>
      <c r="V402" s="11" t="n">
        <f aca="false">IF(Q402&gt;0,'Tax Tables'!$B$32*MIN(MAX(Q402/'Tax Tables'!$B$32*'Tax Tables'!$B$33,'Tax Tables'!$B$34),'Tax Tables'!$B$35),0)</f>
        <v>135</v>
      </c>
      <c r="W402" s="11" t="n">
        <f aca="false">Calculator!$B$5-P402-U402-V402</f>
        <v>189045</v>
      </c>
      <c r="X402" s="11" t="n">
        <f aca="false">'Tax Tables'!$B$22*(MAX(W402,0)-IF(Calculator!$B$10="Yes",MIN(MAX(W402,0),'Tax Tables'!$B$27)*'Tax Tables'!$B$28+MIN(MAX(MAX(W402,0)-'Tax Tables'!$B$27,0),'Tax Tables'!$B$29)*'Tax Tables'!$B$30,MIN(MAX(W402,0),'Tax Tables'!$B$23)*'Tax Tables'!$B$24+MIN(MAX(MAX(W402,0)-'Tax Tables'!$B$23,0),'Tax Tables'!$B$25)*'Tax Tables'!$B$26))*1-MIN('Tax Tables'!$B$22*(MAX(W402,0)-IF(Calculator!$B$10="Yes",MIN(MAX(W402,0),'Tax Tables'!$B$27)*'Tax Tables'!$B$28+MIN(MAX(MAX(W402,0)-'Tax Tables'!$B$27,0),'Tax Tables'!$B$29)*'Tax Tables'!$B$30,MIN(MAX(W402,0),'Tax Tables'!$B$23)*'Tax Tables'!$B$24+MIN(MAX(MAX(W402,0)-'Tax Tables'!$B$23,0),'Tax Tables'!$B$25)*'Tax Tables'!$B$26))*Calculator!$B$11,Calculator!$B$12)</f>
        <v>15643.825</v>
      </c>
      <c r="Y402" s="11" t="n">
        <f aca="false">MAX(W402,0)-X402</f>
        <v>173401.175</v>
      </c>
      <c r="Z402" s="11" t="n">
        <f aca="false">MIN(IF(P402&gt;0,Calculator!$B$13,0)+T402+Calculator!$B$14,'Tax Tables'!$B$36)</f>
        <v>20200</v>
      </c>
      <c r="AA402" s="11" t="n">
        <f aca="false">MAX(P402-Z402,0)</f>
        <v>174300</v>
      </c>
      <c r="AB402" s="11" t="n">
        <f aca="false">SUMPRODUCT((AA402&gt;'Tax Tables'!$A$5:$A$17)*(AA402-'Tax Tables'!$A$5:$A$17)*'Tax Tables'!$C$5:$C$17)</f>
        <v>16524</v>
      </c>
      <c r="AC402" s="11" t="n">
        <f aca="false">IF(W402&lt;0,-1E+099,P402-T402-AB402+Y402+(T402+U402)*Calculator!$B$9)</f>
        <v>367697.175</v>
      </c>
    </row>
    <row r="403" customFormat="false" ht="15" hidden="false" customHeight="false" outlineLevel="0" collapsed="false">
      <c r="A403" s="11" t="n">
        <f aca="false">390*$B$3</f>
        <v>195000</v>
      </c>
      <c r="B403" s="11" t="n">
        <f aca="false">0</f>
        <v>0</v>
      </c>
      <c r="C403" s="11" t="n">
        <f aca="false">A403-B403</f>
        <v>195000</v>
      </c>
      <c r="D403" s="11" t="n">
        <f aca="false">IF(Calculator!$B$6="Yes",MIN(B403,'Tax Tables'!$B$31*'Tax Tables'!$B$32),0)</f>
        <v>0</v>
      </c>
      <c r="E403" s="11" t="n">
        <f aca="false">D403*Calculator!$B$7</f>
        <v>0</v>
      </c>
      <c r="F403" s="11" t="n">
        <f aca="false">D403*Calculator!$B$8</f>
        <v>0</v>
      </c>
      <c r="G403" s="11" t="n">
        <f aca="false">IF(B403&gt;0,'Tax Tables'!$B$32*MIN(MAX(B403/'Tax Tables'!$B$32*'Tax Tables'!$B$33,'Tax Tables'!$B$34),'Tax Tables'!$B$35),0)</f>
        <v>0</v>
      </c>
      <c r="H403" s="11" t="n">
        <f aca="false">Calculator!$B$5-A403-F403-G403</f>
        <v>205000</v>
      </c>
      <c r="I403" s="11" t="n">
        <f aca="false">'Tax Tables'!$B$22*(MAX(H403,0)-IF(Calculator!$B$10="Yes",MIN(MAX(H403,0),'Tax Tables'!$B$27)*'Tax Tables'!$B$28+MIN(MAX(MAX(H403,0)-'Tax Tables'!$B$27,0),'Tax Tables'!$B$29)*'Tax Tables'!$B$30,MIN(MAX(H403,0),'Tax Tables'!$B$23)*'Tax Tables'!$B$24+MIN(MAX(MAX(H403,0)-'Tax Tables'!$B$23,0),'Tax Tables'!$B$25)*'Tax Tables'!$B$26))*1-MIN('Tax Tables'!$B$22*(MAX(H403,0)-IF(Calculator!$B$10="Yes",MIN(MAX(H403,0),'Tax Tables'!$B$27)*'Tax Tables'!$B$28+MIN(MAX(MAX(H403,0)-'Tax Tables'!$B$27,0),'Tax Tables'!$B$29)*'Tax Tables'!$B$30,MIN(MAX(H403,0),'Tax Tables'!$B$23)*'Tax Tables'!$B$24+MIN(MAX(MAX(H403,0)-'Tax Tables'!$B$23,0),'Tax Tables'!$B$25)*'Tax Tables'!$B$26))*Calculator!$B$11,Calculator!$B$12)</f>
        <v>17425</v>
      </c>
      <c r="J403" s="11" t="n">
        <f aca="false">MAX(H403,0)-I403</f>
        <v>187575</v>
      </c>
      <c r="K403" s="11" t="n">
        <f aca="false">MIN(IF(A403&gt;0,Calculator!$B$13,0)+E403+Calculator!$B$14,'Tax Tables'!$B$36)</f>
        <v>1000</v>
      </c>
      <c r="L403" s="11" t="n">
        <f aca="false">MAX(A403-K403,0)</f>
        <v>194000</v>
      </c>
      <c r="M403" s="11" t="n">
        <f aca="false">SUMPRODUCT((L403&gt;'Tax Tables'!$A$5:$A$17)*(L403-'Tax Tables'!$A$5:$A$17)*'Tax Tables'!$C$5:$C$17)</f>
        <v>20070</v>
      </c>
      <c r="N403" s="11" t="n">
        <f aca="false">IF(H403&lt;0,-1E+099,A403-E403-M403+J403+(E403+F403)*Calculator!$B$9)</f>
        <v>362505</v>
      </c>
      <c r="O403" s="2"/>
      <c r="P403" s="11" t="n">
        <f aca="false">390*$B$3</f>
        <v>195000</v>
      </c>
      <c r="Q403" s="11" t="n">
        <f aca="false">MIN(P403,'Tax Tables'!$B$31*'Tax Tables'!$B$32)</f>
        <v>96000</v>
      </c>
      <c r="R403" s="11" t="n">
        <f aca="false">P403-Q403</f>
        <v>99000</v>
      </c>
      <c r="S403" s="11" t="n">
        <f aca="false">IF(Calculator!$B$6="Yes",MIN(Q403,'Tax Tables'!$B$31*'Tax Tables'!$B$32),0)</f>
        <v>96000</v>
      </c>
      <c r="T403" s="11" t="n">
        <f aca="false">S403*Calculator!$B$7</f>
        <v>19200</v>
      </c>
      <c r="U403" s="11" t="n">
        <f aca="false">S403*Calculator!$B$8</f>
        <v>16320</v>
      </c>
      <c r="V403" s="11" t="n">
        <f aca="false">IF(Q403&gt;0,'Tax Tables'!$B$32*MIN(MAX(Q403/'Tax Tables'!$B$32*'Tax Tables'!$B$33,'Tax Tables'!$B$34),'Tax Tables'!$B$35),0)</f>
        <v>135</v>
      </c>
      <c r="W403" s="11" t="n">
        <f aca="false">Calculator!$B$5-P403-U403-V403</f>
        <v>188545</v>
      </c>
      <c r="X403" s="11" t="n">
        <f aca="false">'Tax Tables'!$B$22*(MAX(W403,0)-IF(Calculator!$B$10="Yes",MIN(MAX(W403,0),'Tax Tables'!$B$27)*'Tax Tables'!$B$28+MIN(MAX(MAX(W403,0)-'Tax Tables'!$B$27,0),'Tax Tables'!$B$29)*'Tax Tables'!$B$30,MIN(MAX(W403,0),'Tax Tables'!$B$23)*'Tax Tables'!$B$24+MIN(MAX(MAX(W403,0)-'Tax Tables'!$B$23,0),'Tax Tables'!$B$25)*'Tax Tables'!$B$26))*1-MIN('Tax Tables'!$B$22*(MAX(W403,0)-IF(Calculator!$B$10="Yes",MIN(MAX(W403,0),'Tax Tables'!$B$27)*'Tax Tables'!$B$28+MIN(MAX(MAX(W403,0)-'Tax Tables'!$B$27,0),'Tax Tables'!$B$29)*'Tax Tables'!$B$30,MIN(MAX(W403,0),'Tax Tables'!$B$23)*'Tax Tables'!$B$24+MIN(MAX(MAX(W403,0)-'Tax Tables'!$B$23,0),'Tax Tables'!$B$25)*'Tax Tables'!$B$26))*Calculator!$B$11,Calculator!$B$12)</f>
        <v>15601.325</v>
      </c>
      <c r="Y403" s="11" t="n">
        <f aca="false">MAX(W403,0)-X403</f>
        <v>172943.675</v>
      </c>
      <c r="Z403" s="11" t="n">
        <f aca="false">MIN(IF(P403&gt;0,Calculator!$B$13,0)+T403+Calculator!$B$14,'Tax Tables'!$B$36)</f>
        <v>20200</v>
      </c>
      <c r="AA403" s="11" t="n">
        <f aca="false">MAX(P403-Z403,0)</f>
        <v>174800</v>
      </c>
      <c r="AB403" s="11" t="n">
        <f aca="false">SUMPRODUCT((AA403&gt;'Tax Tables'!$A$5:$A$17)*(AA403-'Tax Tables'!$A$5:$A$17)*'Tax Tables'!$C$5:$C$17)</f>
        <v>16614</v>
      </c>
      <c r="AC403" s="11" t="n">
        <f aca="false">IF(W403&lt;0,-1E+099,P403-T403-AB403+Y403+(T403+U403)*Calculator!$B$9)</f>
        <v>367649.675</v>
      </c>
    </row>
    <row r="404" customFormat="false" ht="15" hidden="false" customHeight="false" outlineLevel="0" collapsed="false">
      <c r="A404" s="11" t="n">
        <f aca="false">391*$B$3</f>
        <v>195500</v>
      </c>
      <c r="B404" s="11" t="n">
        <f aca="false">0</f>
        <v>0</v>
      </c>
      <c r="C404" s="11" t="n">
        <f aca="false">A404-B404</f>
        <v>195500</v>
      </c>
      <c r="D404" s="11" t="n">
        <f aca="false">IF(Calculator!$B$6="Yes",MIN(B404,'Tax Tables'!$B$31*'Tax Tables'!$B$32),0)</f>
        <v>0</v>
      </c>
      <c r="E404" s="11" t="n">
        <f aca="false">D404*Calculator!$B$7</f>
        <v>0</v>
      </c>
      <c r="F404" s="11" t="n">
        <f aca="false">D404*Calculator!$B$8</f>
        <v>0</v>
      </c>
      <c r="G404" s="11" t="n">
        <f aca="false">IF(B404&gt;0,'Tax Tables'!$B$32*MIN(MAX(B404/'Tax Tables'!$B$32*'Tax Tables'!$B$33,'Tax Tables'!$B$34),'Tax Tables'!$B$35),0)</f>
        <v>0</v>
      </c>
      <c r="H404" s="11" t="n">
        <f aca="false">Calculator!$B$5-A404-F404-G404</f>
        <v>204500</v>
      </c>
      <c r="I404" s="11" t="n">
        <f aca="false">'Tax Tables'!$B$22*(MAX(H404,0)-IF(Calculator!$B$10="Yes",MIN(MAX(H404,0),'Tax Tables'!$B$27)*'Tax Tables'!$B$28+MIN(MAX(MAX(H404,0)-'Tax Tables'!$B$27,0),'Tax Tables'!$B$29)*'Tax Tables'!$B$30,MIN(MAX(H404,0),'Tax Tables'!$B$23)*'Tax Tables'!$B$24+MIN(MAX(MAX(H404,0)-'Tax Tables'!$B$23,0),'Tax Tables'!$B$25)*'Tax Tables'!$B$26))*1-MIN('Tax Tables'!$B$22*(MAX(H404,0)-IF(Calculator!$B$10="Yes",MIN(MAX(H404,0),'Tax Tables'!$B$27)*'Tax Tables'!$B$28+MIN(MAX(MAX(H404,0)-'Tax Tables'!$B$27,0),'Tax Tables'!$B$29)*'Tax Tables'!$B$30,MIN(MAX(H404,0),'Tax Tables'!$B$23)*'Tax Tables'!$B$24+MIN(MAX(MAX(H404,0)-'Tax Tables'!$B$23,0),'Tax Tables'!$B$25)*'Tax Tables'!$B$26))*Calculator!$B$11,Calculator!$B$12)</f>
        <v>17340</v>
      </c>
      <c r="J404" s="11" t="n">
        <f aca="false">MAX(H404,0)-I404</f>
        <v>187160</v>
      </c>
      <c r="K404" s="11" t="n">
        <f aca="false">MIN(IF(A404&gt;0,Calculator!$B$13,0)+E404+Calculator!$B$14,'Tax Tables'!$B$36)</f>
        <v>1000</v>
      </c>
      <c r="L404" s="11" t="n">
        <f aca="false">MAX(A404-K404,0)</f>
        <v>194500</v>
      </c>
      <c r="M404" s="11" t="n">
        <f aca="false">SUMPRODUCT((L404&gt;'Tax Tables'!$A$5:$A$17)*(L404-'Tax Tables'!$A$5:$A$17)*'Tax Tables'!$C$5:$C$17)</f>
        <v>20160</v>
      </c>
      <c r="N404" s="11" t="n">
        <f aca="false">IF(H404&lt;0,-1E+099,A404-E404-M404+J404+(E404+F404)*Calculator!$B$9)</f>
        <v>362500</v>
      </c>
      <c r="O404" s="2"/>
      <c r="P404" s="11" t="n">
        <f aca="false">391*$B$3</f>
        <v>195500</v>
      </c>
      <c r="Q404" s="11" t="n">
        <f aca="false">MIN(P404,'Tax Tables'!$B$31*'Tax Tables'!$B$32)</f>
        <v>96000</v>
      </c>
      <c r="R404" s="11" t="n">
        <f aca="false">P404-Q404</f>
        <v>99500</v>
      </c>
      <c r="S404" s="11" t="n">
        <f aca="false">IF(Calculator!$B$6="Yes",MIN(Q404,'Tax Tables'!$B$31*'Tax Tables'!$B$32),0)</f>
        <v>96000</v>
      </c>
      <c r="T404" s="11" t="n">
        <f aca="false">S404*Calculator!$B$7</f>
        <v>19200</v>
      </c>
      <c r="U404" s="11" t="n">
        <f aca="false">S404*Calculator!$B$8</f>
        <v>16320</v>
      </c>
      <c r="V404" s="11" t="n">
        <f aca="false">IF(Q404&gt;0,'Tax Tables'!$B$32*MIN(MAX(Q404/'Tax Tables'!$B$32*'Tax Tables'!$B$33,'Tax Tables'!$B$34),'Tax Tables'!$B$35),0)</f>
        <v>135</v>
      </c>
      <c r="W404" s="11" t="n">
        <f aca="false">Calculator!$B$5-P404-U404-V404</f>
        <v>188045</v>
      </c>
      <c r="X404" s="11" t="n">
        <f aca="false">'Tax Tables'!$B$22*(MAX(W404,0)-IF(Calculator!$B$10="Yes",MIN(MAX(W404,0),'Tax Tables'!$B$27)*'Tax Tables'!$B$28+MIN(MAX(MAX(W404,0)-'Tax Tables'!$B$27,0),'Tax Tables'!$B$29)*'Tax Tables'!$B$30,MIN(MAX(W404,0),'Tax Tables'!$B$23)*'Tax Tables'!$B$24+MIN(MAX(MAX(W404,0)-'Tax Tables'!$B$23,0),'Tax Tables'!$B$25)*'Tax Tables'!$B$26))*1-MIN('Tax Tables'!$B$22*(MAX(W404,0)-IF(Calculator!$B$10="Yes",MIN(MAX(W404,0),'Tax Tables'!$B$27)*'Tax Tables'!$B$28+MIN(MAX(MAX(W404,0)-'Tax Tables'!$B$27,0),'Tax Tables'!$B$29)*'Tax Tables'!$B$30,MIN(MAX(W404,0),'Tax Tables'!$B$23)*'Tax Tables'!$B$24+MIN(MAX(MAX(W404,0)-'Tax Tables'!$B$23,0),'Tax Tables'!$B$25)*'Tax Tables'!$B$26))*Calculator!$B$11,Calculator!$B$12)</f>
        <v>15558.825</v>
      </c>
      <c r="Y404" s="11" t="n">
        <f aca="false">MAX(W404,0)-X404</f>
        <v>172486.175</v>
      </c>
      <c r="Z404" s="11" t="n">
        <f aca="false">MIN(IF(P404&gt;0,Calculator!$B$13,0)+T404+Calculator!$B$14,'Tax Tables'!$B$36)</f>
        <v>20200</v>
      </c>
      <c r="AA404" s="11" t="n">
        <f aca="false">MAX(P404-Z404,0)</f>
        <v>175300</v>
      </c>
      <c r="AB404" s="11" t="n">
        <f aca="false">SUMPRODUCT((AA404&gt;'Tax Tables'!$A$5:$A$17)*(AA404-'Tax Tables'!$A$5:$A$17)*'Tax Tables'!$C$5:$C$17)</f>
        <v>16704</v>
      </c>
      <c r="AC404" s="11" t="n">
        <f aca="false">IF(W404&lt;0,-1E+099,P404-T404-AB404+Y404+(T404+U404)*Calculator!$B$9)</f>
        <v>367602.175</v>
      </c>
    </row>
    <row r="405" customFormat="false" ht="15" hidden="false" customHeight="false" outlineLevel="0" collapsed="false">
      <c r="A405" s="11" t="n">
        <f aca="false">392*$B$3</f>
        <v>196000</v>
      </c>
      <c r="B405" s="11" t="n">
        <f aca="false">0</f>
        <v>0</v>
      </c>
      <c r="C405" s="11" t="n">
        <f aca="false">A405-B405</f>
        <v>196000</v>
      </c>
      <c r="D405" s="11" t="n">
        <f aca="false">IF(Calculator!$B$6="Yes",MIN(B405,'Tax Tables'!$B$31*'Tax Tables'!$B$32),0)</f>
        <v>0</v>
      </c>
      <c r="E405" s="11" t="n">
        <f aca="false">D405*Calculator!$B$7</f>
        <v>0</v>
      </c>
      <c r="F405" s="11" t="n">
        <f aca="false">D405*Calculator!$B$8</f>
        <v>0</v>
      </c>
      <c r="G405" s="11" t="n">
        <f aca="false">IF(B405&gt;0,'Tax Tables'!$B$32*MIN(MAX(B405/'Tax Tables'!$B$32*'Tax Tables'!$B$33,'Tax Tables'!$B$34),'Tax Tables'!$B$35),0)</f>
        <v>0</v>
      </c>
      <c r="H405" s="11" t="n">
        <f aca="false">Calculator!$B$5-A405-F405-G405</f>
        <v>204000</v>
      </c>
      <c r="I405" s="11" t="n">
        <f aca="false">'Tax Tables'!$B$22*(MAX(H405,0)-IF(Calculator!$B$10="Yes",MIN(MAX(H405,0),'Tax Tables'!$B$27)*'Tax Tables'!$B$28+MIN(MAX(MAX(H405,0)-'Tax Tables'!$B$27,0),'Tax Tables'!$B$29)*'Tax Tables'!$B$30,MIN(MAX(H405,0),'Tax Tables'!$B$23)*'Tax Tables'!$B$24+MIN(MAX(MAX(H405,0)-'Tax Tables'!$B$23,0),'Tax Tables'!$B$25)*'Tax Tables'!$B$26))*1-MIN('Tax Tables'!$B$22*(MAX(H405,0)-IF(Calculator!$B$10="Yes",MIN(MAX(H405,0),'Tax Tables'!$B$27)*'Tax Tables'!$B$28+MIN(MAX(MAX(H405,0)-'Tax Tables'!$B$27,0),'Tax Tables'!$B$29)*'Tax Tables'!$B$30,MIN(MAX(H405,0),'Tax Tables'!$B$23)*'Tax Tables'!$B$24+MIN(MAX(MAX(H405,0)-'Tax Tables'!$B$23,0),'Tax Tables'!$B$25)*'Tax Tables'!$B$26))*Calculator!$B$11,Calculator!$B$12)</f>
        <v>17255</v>
      </c>
      <c r="J405" s="11" t="n">
        <f aca="false">MAX(H405,0)-I405</f>
        <v>186745</v>
      </c>
      <c r="K405" s="11" t="n">
        <f aca="false">MIN(IF(A405&gt;0,Calculator!$B$13,0)+E405+Calculator!$B$14,'Tax Tables'!$B$36)</f>
        <v>1000</v>
      </c>
      <c r="L405" s="11" t="n">
        <f aca="false">MAX(A405-K405,0)</f>
        <v>195000</v>
      </c>
      <c r="M405" s="11" t="n">
        <f aca="false">SUMPRODUCT((L405&gt;'Tax Tables'!$A$5:$A$17)*(L405-'Tax Tables'!$A$5:$A$17)*'Tax Tables'!$C$5:$C$17)</f>
        <v>20250</v>
      </c>
      <c r="N405" s="11" t="n">
        <f aca="false">IF(H405&lt;0,-1E+099,A405-E405-M405+J405+(E405+F405)*Calculator!$B$9)</f>
        <v>362495</v>
      </c>
      <c r="O405" s="2"/>
      <c r="P405" s="11" t="n">
        <f aca="false">392*$B$3</f>
        <v>196000</v>
      </c>
      <c r="Q405" s="11" t="n">
        <f aca="false">MIN(P405,'Tax Tables'!$B$31*'Tax Tables'!$B$32)</f>
        <v>96000</v>
      </c>
      <c r="R405" s="11" t="n">
        <f aca="false">P405-Q405</f>
        <v>100000</v>
      </c>
      <c r="S405" s="11" t="n">
        <f aca="false">IF(Calculator!$B$6="Yes",MIN(Q405,'Tax Tables'!$B$31*'Tax Tables'!$B$32),0)</f>
        <v>96000</v>
      </c>
      <c r="T405" s="11" t="n">
        <f aca="false">S405*Calculator!$B$7</f>
        <v>19200</v>
      </c>
      <c r="U405" s="11" t="n">
        <f aca="false">S405*Calculator!$B$8</f>
        <v>16320</v>
      </c>
      <c r="V405" s="11" t="n">
        <f aca="false">IF(Q405&gt;0,'Tax Tables'!$B$32*MIN(MAX(Q405/'Tax Tables'!$B$32*'Tax Tables'!$B$33,'Tax Tables'!$B$34),'Tax Tables'!$B$35),0)</f>
        <v>135</v>
      </c>
      <c r="W405" s="11" t="n">
        <f aca="false">Calculator!$B$5-P405-U405-V405</f>
        <v>187545</v>
      </c>
      <c r="X405" s="11" t="n">
        <f aca="false">'Tax Tables'!$B$22*(MAX(W405,0)-IF(Calculator!$B$10="Yes",MIN(MAX(W405,0),'Tax Tables'!$B$27)*'Tax Tables'!$B$28+MIN(MAX(MAX(W405,0)-'Tax Tables'!$B$27,0),'Tax Tables'!$B$29)*'Tax Tables'!$B$30,MIN(MAX(W405,0),'Tax Tables'!$B$23)*'Tax Tables'!$B$24+MIN(MAX(MAX(W405,0)-'Tax Tables'!$B$23,0),'Tax Tables'!$B$25)*'Tax Tables'!$B$26))*1-MIN('Tax Tables'!$B$22*(MAX(W405,0)-IF(Calculator!$B$10="Yes",MIN(MAX(W405,0),'Tax Tables'!$B$27)*'Tax Tables'!$B$28+MIN(MAX(MAX(W405,0)-'Tax Tables'!$B$27,0),'Tax Tables'!$B$29)*'Tax Tables'!$B$30,MIN(MAX(W405,0),'Tax Tables'!$B$23)*'Tax Tables'!$B$24+MIN(MAX(MAX(W405,0)-'Tax Tables'!$B$23,0),'Tax Tables'!$B$25)*'Tax Tables'!$B$26))*Calculator!$B$11,Calculator!$B$12)</f>
        <v>15516.325</v>
      </c>
      <c r="Y405" s="11" t="n">
        <f aca="false">MAX(W405,0)-X405</f>
        <v>172028.675</v>
      </c>
      <c r="Z405" s="11" t="n">
        <f aca="false">MIN(IF(P405&gt;0,Calculator!$B$13,0)+T405+Calculator!$B$14,'Tax Tables'!$B$36)</f>
        <v>20200</v>
      </c>
      <c r="AA405" s="11" t="n">
        <f aca="false">MAX(P405-Z405,0)</f>
        <v>175800</v>
      </c>
      <c r="AB405" s="11" t="n">
        <f aca="false">SUMPRODUCT((AA405&gt;'Tax Tables'!$A$5:$A$17)*(AA405-'Tax Tables'!$A$5:$A$17)*'Tax Tables'!$C$5:$C$17)</f>
        <v>16794</v>
      </c>
      <c r="AC405" s="11" t="n">
        <f aca="false">IF(W405&lt;0,-1E+099,P405-T405-AB405+Y405+(T405+U405)*Calculator!$B$9)</f>
        <v>367554.675</v>
      </c>
    </row>
    <row r="406" customFormat="false" ht="15" hidden="false" customHeight="false" outlineLevel="0" collapsed="false">
      <c r="A406" s="11" t="n">
        <f aca="false">393*$B$3</f>
        <v>196500</v>
      </c>
      <c r="B406" s="11" t="n">
        <f aca="false">0</f>
        <v>0</v>
      </c>
      <c r="C406" s="11" t="n">
        <f aca="false">A406-B406</f>
        <v>196500</v>
      </c>
      <c r="D406" s="11" t="n">
        <f aca="false">IF(Calculator!$B$6="Yes",MIN(B406,'Tax Tables'!$B$31*'Tax Tables'!$B$32),0)</f>
        <v>0</v>
      </c>
      <c r="E406" s="11" t="n">
        <f aca="false">D406*Calculator!$B$7</f>
        <v>0</v>
      </c>
      <c r="F406" s="11" t="n">
        <f aca="false">D406*Calculator!$B$8</f>
        <v>0</v>
      </c>
      <c r="G406" s="11" t="n">
        <f aca="false">IF(B406&gt;0,'Tax Tables'!$B$32*MIN(MAX(B406/'Tax Tables'!$B$32*'Tax Tables'!$B$33,'Tax Tables'!$B$34),'Tax Tables'!$B$35),0)</f>
        <v>0</v>
      </c>
      <c r="H406" s="11" t="n">
        <f aca="false">Calculator!$B$5-A406-F406-G406</f>
        <v>203500</v>
      </c>
      <c r="I406" s="11" t="n">
        <f aca="false">'Tax Tables'!$B$22*(MAX(H406,0)-IF(Calculator!$B$10="Yes",MIN(MAX(H406,0),'Tax Tables'!$B$27)*'Tax Tables'!$B$28+MIN(MAX(MAX(H406,0)-'Tax Tables'!$B$27,0),'Tax Tables'!$B$29)*'Tax Tables'!$B$30,MIN(MAX(H406,0),'Tax Tables'!$B$23)*'Tax Tables'!$B$24+MIN(MAX(MAX(H406,0)-'Tax Tables'!$B$23,0),'Tax Tables'!$B$25)*'Tax Tables'!$B$26))*1-MIN('Tax Tables'!$B$22*(MAX(H406,0)-IF(Calculator!$B$10="Yes",MIN(MAX(H406,0),'Tax Tables'!$B$27)*'Tax Tables'!$B$28+MIN(MAX(MAX(H406,0)-'Tax Tables'!$B$27,0),'Tax Tables'!$B$29)*'Tax Tables'!$B$30,MIN(MAX(H406,0),'Tax Tables'!$B$23)*'Tax Tables'!$B$24+MIN(MAX(MAX(H406,0)-'Tax Tables'!$B$23,0),'Tax Tables'!$B$25)*'Tax Tables'!$B$26))*Calculator!$B$11,Calculator!$B$12)</f>
        <v>17170</v>
      </c>
      <c r="J406" s="11" t="n">
        <f aca="false">MAX(H406,0)-I406</f>
        <v>186330</v>
      </c>
      <c r="K406" s="11" t="n">
        <f aca="false">MIN(IF(A406&gt;0,Calculator!$B$13,0)+E406+Calculator!$B$14,'Tax Tables'!$B$36)</f>
        <v>1000</v>
      </c>
      <c r="L406" s="11" t="n">
        <f aca="false">MAX(A406-K406,0)</f>
        <v>195500</v>
      </c>
      <c r="M406" s="11" t="n">
        <f aca="false">SUMPRODUCT((L406&gt;'Tax Tables'!$A$5:$A$17)*(L406-'Tax Tables'!$A$5:$A$17)*'Tax Tables'!$C$5:$C$17)</f>
        <v>20340</v>
      </c>
      <c r="N406" s="11" t="n">
        <f aca="false">IF(H406&lt;0,-1E+099,A406-E406-M406+J406+(E406+F406)*Calculator!$B$9)</f>
        <v>362490</v>
      </c>
      <c r="O406" s="2"/>
      <c r="P406" s="11" t="n">
        <f aca="false">393*$B$3</f>
        <v>196500</v>
      </c>
      <c r="Q406" s="11" t="n">
        <f aca="false">MIN(P406,'Tax Tables'!$B$31*'Tax Tables'!$B$32)</f>
        <v>96000</v>
      </c>
      <c r="R406" s="11" t="n">
        <f aca="false">P406-Q406</f>
        <v>100500</v>
      </c>
      <c r="S406" s="11" t="n">
        <f aca="false">IF(Calculator!$B$6="Yes",MIN(Q406,'Tax Tables'!$B$31*'Tax Tables'!$B$32),0)</f>
        <v>96000</v>
      </c>
      <c r="T406" s="11" t="n">
        <f aca="false">S406*Calculator!$B$7</f>
        <v>19200</v>
      </c>
      <c r="U406" s="11" t="n">
        <f aca="false">S406*Calculator!$B$8</f>
        <v>16320</v>
      </c>
      <c r="V406" s="11" t="n">
        <f aca="false">IF(Q406&gt;0,'Tax Tables'!$B$32*MIN(MAX(Q406/'Tax Tables'!$B$32*'Tax Tables'!$B$33,'Tax Tables'!$B$34),'Tax Tables'!$B$35),0)</f>
        <v>135</v>
      </c>
      <c r="W406" s="11" t="n">
        <f aca="false">Calculator!$B$5-P406-U406-V406</f>
        <v>187045</v>
      </c>
      <c r="X406" s="11" t="n">
        <f aca="false">'Tax Tables'!$B$22*(MAX(W406,0)-IF(Calculator!$B$10="Yes",MIN(MAX(W406,0),'Tax Tables'!$B$27)*'Tax Tables'!$B$28+MIN(MAX(MAX(W406,0)-'Tax Tables'!$B$27,0),'Tax Tables'!$B$29)*'Tax Tables'!$B$30,MIN(MAX(W406,0),'Tax Tables'!$B$23)*'Tax Tables'!$B$24+MIN(MAX(MAX(W406,0)-'Tax Tables'!$B$23,0),'Tax Tables'!$B$25)*'Tax Tables'!$B$26))*1-MIN('Tax Tables'!$B$22*(MAX(W406,0)-IF(Calculator!$B$10="Yes",MIN(MAX(W406,0),'Tax Tables'!$B$27)*'Tax Tables'!$B$28+MIN(MAX(MAX(W406,0)-'Tax Tables'!$B$27,0),'Tax Tables'!$B$29)*'Tax Tables'!$B$30,MIN(MAX(W406,0),'Tax Tables'!$B$23)*'Tax Tables'!$B$24+MIN(MAX(MAX(W406,0)-'Tax Tables'!$B$23,0),'Tax Tables'!$B$25)*'Tax Tables'!$B$26))*Calculator!$B$11,Calculator!$B$12)</f>
        <v>15473.825</v>
      </c>
      <c r="Y406" s="11" t="n">
        <f aca="false">MAX(W406,0)-X406</f>
        <v>171571.175</v>
      </c>
      <c r="Z406" s="11" t="n">
        <f aca="false">MIN(IF(P406&gt;0,Calculator!$B$13,0)+T406+Calculator!$B$14,'Tax Tables'!$B$36)</f>
        <v>20200</v>
      </c>
      <c r="AA406" s="11" t="n">
        <f aca="false">MAX(P406-Z406,0)</f>
        <v>176300</v>
      </c>
      <c r="AB406" s="11" t="n">
        <f aca="false">SUMPRODUCT((AA406&gt;'Tax Tables'!$A$5:$A$17)*(AA406-'Tax Tables'!$A$5:$A$17)*'Tax Tables'!$C$5:$C$17)</f>
        <v>16884</v>
      </c>
      <c r="AC406" s="11" t="n">
        <f aca="false">IF(W406&lt;0,-1E+099,P406-T406-AB406+Y406+(T406+U406)*Calculator!$B$9)</f>
        <v>367507.175</v>
      </c>
    </row>
    <row r="407" customFormat="false" ht="15" hidden="false" customHeight="false" outlineLevel="0" collapsed="false">
      <c r="A407" s="11" t="n">
        <f aca="false">394*$B$3</f>
        <v>197000</v>
      </c>
      <c r="B407" s="11" t="n">
        <f aca="false">0</f>
        <v>0</v>
      </c>
      <c r="C407" s="11" t="n">
        <f aca="false">A407-B407</f>
        <v>197000</v>
      </c>
      <c r="D407" s="11" t="n">
        <f aca="false">IF(Calculator!$B$6="Yes",MIN(B407,'Tax Tables'!$B$31*'Tax Tables'!$B$32),0)</f>
        <v>0</v>
      </c>
      <c r="E407" s="11" t="n">
        <f aca="false">D407*Calculator!$B$7</f>
        <v>0</v>
      </c>
      <c r="F407" s="11" t="n">
        <f aca="false">D407*Calculator!$B$8</f>
        <v>0</v>
      </c>
      <c r="G407" s="11" t="n">
        <f aca="false">IF(B407&gt;0,'Tax Tables'!$B$32*MIN(MAX(B407/'Tax Tables'!$B$32*'Tax Tables'!$B$33,'Tax Tables'!$B$34),'Tax Tables'!$B$35),0)</f>
        <v>0</v>
      </c>
      <c r="H407" s="11" t="n">
        <f aca="false">Calculator!$B$5-A407-F407-G407</f>
        <v>203000</v>
      </c>
      <c r="I407" s="11" t="n">
        <f aca="false">'Tax Tables'!$B$22*(MAX(H407,0)-IF(Calculator!$B$10="Yes",MIN(MAX(H407,0),'Tax Tables'!$B$27)*'Tax Tables'!$B$28+MIN(MAX(MAX(H407,0)-'Tax Tables'!$B$27,0),'Tax Tables'!$B$29)*'Tax Tables'!$B$30,MIN(MAX(H407,0),'Tax Tables'!$B$23)*'Tax Tables'!$B$24+MIN(MAX(MAX(H407,0)-'Tax Tables'!$B$23,0),'Tax Tables'!$B$25)*'Tax Tables'!$B$26))*1-MIN('Tax Tables'!$B$22*(MAX(H407,0)-IF(Calculator!$B$10="Yes",MIN(MAX(H407,0),'Tax Tables'!$B$27)*'Tax Tables'!$B$28+MIN(MAX(MAX(H407,0)-'Tax Tables'!$B$27,0),'Tax Tables'!$B$29)*'Tax Tables'!$B$30,MIN(MAX(H407,0),'Tax Tables'!$B$23)*'Tax Tables'!$B$24+MIN(MAX(MAX(H407,0)-'Tax Tables'!$B$23,0),'Tax Tables'!$B$25)*'Tax Tables'!$B$26))*Calculator!$B$11,Calculator!$B$12)</f>
        <v>17085</v>
      </c>
      <c r="J407" s="11" t="n">
        <f aca="false">MAX(H407,0)-I407</f>
        <v>185915</v>
      </c>
      <c r="K407" s="11" t="n">
        <f aca="false">MIN(IF(A407&gt;0,Calculator!$B$13,0)+E407+Calculator!$B$14,'Tax Tables'!$B$36)</f>
        <v>1000</v>
      </c>
      <c r="L407" s="11" t="n">
        <f aca="false">MAX(A407-K407,0)</f>
        <v>196000</v>
      </c>
      <c r="M407" s="11" t="n">
        <f aca="false">SUMPRODUCT((L407&gt;'Tax Tables'!$A$5:$A$17)*(L407-'Tax Tables'!$A$5:$A$17)*'Tax Tables'!$C$5:$C$17)</f>
        <v>20430</v>
      </c>
      <c r="N407" s="11" t="n">
        <f aca="false">IF(H407&lt;0,-1E+099,A407-E407-M407+J407+(E407+F407)*Calculator!$B$9)</f>
        <v>362485</v>
      </c>
      <c r="O407" s="2"/>
      <c r="P407" s="11" t="n">
        <f aca="false">394*$B$3</f>
        <v>197000</v>
      </c>
      <c r="Q407" s="11" t="n">
        <f aca="false">MIN(P407,'Tax Tables'!$B$31*'Tax Tables'!$B$32)</f>
        <v>96000</v>
      </c>
      <c r="R407" s="11" t="n">
        <f aca="false">P407-Q407</f>
        <v>101000</v>
      </c>
      <c r="S407" s="11" t="n">
        <f aca="false">IF(Calculator!$B$6="Yes",MIN(Q407,'Tax Tables'!$B$31*'Tax Tables'!$B$32),0)</f>
        <v>96000</v>
      </c>
      <c r="T407" s="11" t="n">
        <f aca="false">S407*Calculator!$B$7</f>
        <v>19200</v>
      </c>
      <c r="U407" s="11" t="n">
        <f aca="false">S407*Calculator!$B$8</f>
        <v>16320</v>
      </c>
      <c r="V407" s="11" t="n">
        <f aca="false">IF(Q407&gt;0,'Tax Tables'!$B$32*MIN(MAX(Q407/'Tax Tables'!$B$32*'Tax Tables'!$B$33,'Tax Tables'!$B$34),'Tax Tables'!$B$35),0)</f>
        <v>135</v>
      </c>
      <c r="W407" s="11" t="n">
        <f aca="false">Calculator!$B$5-P407-U407-V407</f>
        <v>186545</v>
      </c>
      <c r="X407" s="11" t="n">
        <f aca="false">'Tax Tables'!$B$22*(MAX(W407,0)-IF(Calculator!$B$10="Yes",MIN(MAX(W407,0),'Tax Tables'!$B$27)*'Tax Tables'!$B$28+MIN(MAX(MAX(W407,0)-'Tax Tables'!$B$27,0),'Tax Tables'!$B$29)*'Tax Tables'!$B$30,MIN(MAX(W407,0),'Tax Tables'!$B$23)*'Tax Tables'!$B$24+MIN(MAX(MAX(W407,0)-'Tax Tables'!$B$23,0),'Tax Tables'!$B$25)*'Tax Tables'!$B$26))*1-MIN('Tax Tables'!$B$22*(MAX(W407,0)-IF(Calculator!$B$10="Yes",MIN(MAX(W407,0),'Tax Tables'!$B$27)*'Tax Tables'!$B$28+MIN(MAX(MAX(W407,0)-'Tax Tables'!$B$27,0),'Tax Tables'!$B$29)*'Tax Tables'!$B$30,MIN(MAX(W407,0),'Tax Tables'!$B$23)*'Tax Tables'!$B$24+MIN(MAX(MAX(W407,0)-'Tax Tables'!$B$23,0),'Tax Tables'!$B$25)*'Tax Tables'!$B$26))*Calculator!$B$11,Calculator!$B$12)</f>
        <v>15431.325</v>
      </c>
      <c r="Y407" s="11" t="n">
        <f aca="false">MAX(W407,0)-X407</f>
        <v>171113.675</v>
      </c>
      <c r="Z407" s="11" t="n">
        <f aca="false">MIN(IF(P407&gt;0,Calculator!$B$13,0)+T407+Calculator!$B$14,'Tax Tables'!$B$36)</f>
        <v>20200</v>
      </c>
      <c r="AA407" s="11" t="n">
        <f aca="false">MAX(P407-Z407,0)</f>
        <v>176800</v>
      </c>
      <c r="AB407" s="11" t="n">
        <f aca="false">SUMPRODUCT((AA407&gt;'Tax Tables'!$A$5:$A$17)*(AA407-'Tax Tables'!$A$5:$A$17)*'Tax Tables'!$C$5:$C$17)</f>
        <v>16974</v>
      </c>
      <c r="AC407" s="11" t="n">
        <f aca="false">IF(W407&lt;0,-1E+099,P407-T407-AB407+Y407+(T407+U407)*Calculator!$B$9)</f>
        <v>367459.675</v>
      </c>
    </row>
    <row r="408" customFormat="false" ht="15" hidden="false" customHeight="false" outlineLevel="0" collapsed="false">
      <c r="A408" s="11" t="n">
        <f aca="false">395*$B$3</f>
        <v>197500</v>
      </c>
      <c r="B408" s="11" t="n">
        <f aca="false">0</f>
        <v>0</v>
      </c>
      <c r="C408" s="11" t="n">
        <f aca="false">A408-B408</f>
        <v>197500</v>
      </c>
      <c r="D408" s="11" t="n">
        <f aca="false">IF(Calculator!$B$6="Yes",MIN(B408,'Tax Tables'!$B$31*'Tax Tables'!$B$32),0)</f>
        <v>0</v>
      </c>
      <c r="E408" s="11" t="n">
        <f aca="false">D408*Calculator!$B$7</f>
        <v>0</v>
      </c>
      <c r="F408" s="11" t="n">
        <f aca="false">D408*Calculator!$B$8</f>
        <v>0</v>
      </c>
      <c r="G408" s="11" t="n">
        <f aca="false">IF(B408&gt;0,'Tax Tables'!$B$32*MIN(MAX(B408/'Tax Tables'!$B$32*'Tax Tables'!$B$33,'Tax Tables'!$B$34),'Tax Tables'!$B$35),0)</f>
        <v>0</v>
      </c>
      <c r="H408" s="11" t="n">
        <f aca="false">Calculator!$B$5-A408-F408-G408</f>
        <v>202500</v>
      </c>
      <c r="I408" s="11" t="n">
        <f aca="false">'Tax Tables'!$B$22*(MAX(H408,0)-IF(Calculator!$B$10="Yes",MIN(MAX(H408,0),'Tax Tables'!$B$27)*'Tax Tables'!$B$28+MIN(MAX(MAX(H408,0)-'Tax Tables'!$B$27,0),'Tax Tables'!$B$29)*'Tax Tables'!$B$30,MIN(MAX(H408,0),'Tax Tables'!$B$23)*'Tax Tables'!$B$24+MIN(MAX(MAX(H408,0)-'Tax Tables'!$B$23,0),'Tax Tables'!$B$25)*'Tax Tables'!$B$26))*1-MIN('Tax Tables'!$B$22*(MAX(H408,0)-IF(Calculator!$B$10="Yes",MIN(MAX(H408,0),'Tax Tables'!$B$27)*'Tax Tables'!$B$28+MIN(MAX(MAX(H408,0)-'Tax Tables'!$B$27,0),'Tax Tables'!$B$29)*'Tax Tables'!$B$30,MIN(MAX(H408,0),'Tax Tables'!$B$23)*'Tax Tables'!$B$24+MIN(MAX(MAX(H408,0)-'Tax Tables'!$B$23,0),'Tax Tables'!$B$25)*'Tax Tables'!$B$26))*Calculator!$B$11,Calculator!$B$12)</f>
        <v>17000</v>
      </c>
      <c r="J408" s="11" t="n">
        <f aca="false">MAX(H408,0)-I408</f>
        <v>185500</v>
      </c>
      <c r="K408" s="11" t="n">
        <f aca="false">MIN(IF(A408&gt;0,Calculator!$B$13,0)+E408+Calculator!$B$14,'Tax Tables'!$B$36)</f>
        <v>1000</v>
      </c>
      <c r="L408" s="11" t="n">
        <f aca="false">MAX(A408-K408,0)</f>
        <v>196500</v>
      </c>
      <c r="M408" s="11" t="n">
        <f aca="false">SUMPRODUCT((L408&gt;'Tax Tables'!$A$5:$A$17)*(L408-'Tax Tables'!$A$5:$A$17)*'Tax Tables'!$C$5:$C$17)</f>
        <v>20520</v>
      </c>
      <c r="N408" s="11" t="n">
        <f aca="false">IF(H408&lt;0,-1E+099,A408-E408-M408+J408+(E408+F408)*Calculator!$B$9)</f>
        <v>362480</v>
      </c>
      <c r="O408" s="2"/>
      <c r="P408" s="11" t="n">
        <f aca="false">395*$B$3</f>
        <v>197500</v>
      </c>
      <c r="Q408" s="11" t="n">
        <f aca="false">MIN(P408,'Tax Tables'!$B$31*'Tax Tables'!$B$32)</f>
        <v>96000</v>
      </c>
      <c r="R408" s="11" t="n">
        <f aca="false">P408-Q408</f>
        <v>101500</v>
      </c>
      <c r="S408" s="11" t="n">
        <f aca="false">IF(Calculator!$B$6="Yes",MIN(Q408,'Tax Tables'!$B$31*'Tax Tables'!$B$32),0)</f>
        <v>96000</v>
      </c>
      <c r="T408" s="11" t="n">
        <f aca="false">S408*Calculator!$B$7</f>
        <v>19200</v>
      </c>
      <c r="U408" s="11" t="n">
        <f aca="false">S408*Calculator!$B$8</f>
        <v>16320</v>
      </c>
      <c r="V408" s="11" t="n">
        <f aca="false">IF(Q408&gt;0,'Tax Tables'!$B$32*MIN(MAX(Q408/'Tax Tables'!$B$32*'Tax Tables'!$B$33,'Tax Tables'!$B$34),'Tax Tables'!$B$35),0)</f>
        <v>135</v>
      </c>
      <c r="W408" s="11" t="n">
        <f aca="false">Calculator!$B$5-P408-U408-V408</f>
        <v>186045</v>
      </c>
      <c r="X408" s="11" t="n">
        <f aca="false">'Tax Tables'!$B$22*(MAX(W408,0)-IF(Calculator!$B$10="Yes",MIN(MAX(W408,0),'Tax Tables'!$B$27)*'Tax Tables'!$B$28+MIN(MAX(MAX(W408,0)-'Tax Tables'!$B$27,0),'Tax Tables'!$B$29)*'Tax Tables'!$B$30,MIN(MAX(W408,0),'Tax Tables'!$B$23)*'Tax Tables'!$B$24+MIN(MAX(MAX(W408,0)-'Tax Tables'!$B$23,0),'Tax Tables'!$B$25)*'Tax Tables'!$B$26))*1-MIN('Tax Tables'!$B$22*(MAX(W408,0)-IF(Calculator!$B$10="Yes",MIN(MAX(W408,0),'Tax Tables'!$B$27)*'Tax Tables'!$B$28+MIN(MAX(MAX(W408,0)-'Tax Tables'!$B$27,0),'Tax Tables'!$B$29)*'Tax Tables'!$B$30,MIN(MAX(W408,0),'Tax Tables'!$B$23)*'Tax Tables'!$B$24+MIN(MAX(MAX(W408,0)-'Tax Tables'!$B$23,0),'Tax Tables'!$B$25)*'Tax Tables'!$B$26))*Calculator!$B$11,Calculator!$B$12)</f>
        <v>15388.825</v>
      </c>
      <c r="Y408" s="11" t="n">
        <f aca="false">MAX(W408,0)-X408</f>
        <v>170656.175</v>
      </c>
      <c r="Z408" s="11" t="n">
        <f aca="false">MIN(IF(P408&gt;0,Calculator!$B$13,0)+T408+Calculator!$B$14,'Tax Tables'!$B$36)</f>
        <v>20200</v>
      </c>
      <c r="AA408" s="11" t="n">
        <f aca="false">MAX(P408-Z408,0)</f>
        <v>177300</v>
      </c>
      <c r="AB408" s="11" t="n">
        <f aca="false">SUMPRODUCT((AA408&gt;'Tax Tables'!$A$5:$A$17)*(AA408-'Tax Tables'!$A$5:$A$17)*'Tax Tables'!$C$5:$C$17)</f>
        <v>17064</v>
      </c>
      <c r="AC408" s="11" t="n">
        <f aca="false">IF(W408&lt;0,-1E+099,P408-T408-AB408+Y408+(T408+U408)*Calculator!$B$9)</f>
        <v>367412.175</v>
      </c>
    </row>
    <row r="409" customFormat="false" ht="15" hidden="false" customHeight="false" outlineLevel="0" collapsed="false">
      <c r="A409" s="11" t="n">
        <f aca="false">396*$B$3</f>
        <v>198000</v>
      </c>
      <c r="B409" s="11" t="n">
        <f aca="false">0</f>
        <v>0</v>
      </c>
      <c r="C409" s="11" t="n">
        <f aca="false">A409-B409</f>
        <v>198000</v>
      </c>
      <c r="D409" s="11" t="n">
        <f aca="false">IF(Calculator!$B$6="Yes",MIN(B409,'Tax Tables'!$B$31*'Tax Tables'!$B$32),0)</f>
        <v>0</v>
      </c>
      <c r="E409" s="11" t="n">
        <f aca="false">D409*Calculator!$B$7</f>
        <v>0</v>
      </c>
      <c r="F409" s="11" t="n">
        <f aca="false">D409*Calculator!$B$8</f>
        <v>0</v>
      </c>
      <c r="G409" s="11" t="n">
        <f aca="false">IF(B409&gt;0,'Tax Tables'!$B$32*MIN(MAX(B409/'Tax Tables'!$B$32*'Tax Tables'!$B$33,'Tax Tables'!$B$34),'Tax Tables'!$B$35),0)</f>
        <v>0</v>
      </c>
      <c r="H409" s="11" t="n">
        <f aca="false">Calculator!$B$5-A409-F409-G409</f>
        <v>202000</v>
      </c>
      <c r="I409" s="11" t="n">
        <f aca="false">'Tax Tables'!$B$22*(MAX(H409,0)-IF(Calculator!$B$10="Yes",MIN(MAX(H409,0),'Tax Tables'!$B$27)*'Tax Tables'!$B$28+MIN(MAX(MAX(H409,0)-'Tax Tables'!$B$27,0),'Tax Tables'!$B$29)*'Tax Tables'!$B$30,MIN(MAX(H409,0),'Tax Tables'!$B$23)*'Tax Tables'!$B$24+MIN(MAX(MAX(H409,0)-'Tax Tables'!$B$23,0),'Tax Tables'!$B$25)*'Tax Tables'!$B$26))*1-MIN('Tax Tables'!$B$22*(MAX(H409,0)-IF(Calculator!$B$10="Yes",MIN(MAX(H409,0),'Tax Tables'!$B$27)*'Tax Tables'!$B$28+MIN(MAX(MAX(H409,0)-'Tax Tables'!$B$27,0),'Tax Tables'!$B$29)*'Tax Tables'!$B$30,MIN(MAX(H409,0),'Tax Tables'!$B$23)*'Tax Tables'!$B$24+MIN(MAX(MAX(H409,0)-'Tax Tables'!$B$23,0),'Tax Tables'!$B$25)*'Tax Tables'!$B$26))*Calculator!$B$11,Calculator!$B$12)</f>
        <v>16915</v>
      </c>
      <c r="J409" s="11" t="n">
        <f aca="false">MAX(H409,0)-I409</f>
        <v>185085</v>
      </c>
      <c r="K409" s="11" t="n">
        <f aca="false">MIN(IF(A409&gt;0,Calculator!$B$13,0)+E409+Calculator!$B$14,'Tax Tables'!$B$36)</f>
        <v>1000</v>
      </c>
      <c r="L409" s="11" t="n">
        <f aca="false">MAX(A409-K409,0)</f>
        <v>197000</v>
      </c>
      <c r="M409" s="11" t="n">
        <f aca="false">SUMPRODUCT((L409&gt;'Tax Tables'!$A$5:$A$17)*(L409-'Tax Tables'!$A$5:$A$17)*'Tax Tables'!$C$5:$C$17)</f>
        <v>20610</v>
      </c>
      <c r="N409" s="11" t="n">
        <f aca="false">IF(H409&lt;0,-1E+099,A409-E409-M409+J409+(E409+F409)*Calculator!$B$9)</f>
        <v>362475</v>
      </c>
      <c r="O409" s="2"/>
      <c r="P409" s="11" t="n">
        <f aca="false">396*$B$3</f>
        <v>198000</v>
      </c>
      <c r="Q409" s="11" t="n">
        <f aca="false">MIN(P409,'Tax Tables'!$B$31*'Tax Tables'!$B$32)</f>
        <v>96000</v>
      </c>
      <c r="R409" s="11" t="n">
        <f aca="false">P409-Q409</f>
        <v>102000</v>
      </c>
      <c r="S409" s="11" t="n">
        <f aca="false">IF(Calculator!$B$6="Yes",MIN(Q409,'Tax Tables'!$B$31*'Tax Tables'!$B$32),0)</f>
        <v>96000</v>
      </c>
      <c r="T409" s="11" t="n">
        <f aca="false">S409*Calculator!$B$7</f>
        <v>19200</v>
      </c>
      <c r="U409" s="11" t="n">
        <f aca="false">S409*Calculator!$B$8</f>
        <v>16320</v>
      </c>
      <c r="V409" s="11" t="n">
        <f aca="false">IF(Q409&gt;0,'Tax Tables'!$B$32*MIN(MAX(Q409/'Tax Tables'!$B$32*'Tax Tables'!$B$33,'Tax Tables'!$B$34),'Tax Tables'!$B$35),0)</f>
        <v>135</v>
      </c>
      <c r="W409" s="11" t="n">
        <f aca="false">Calculator!$B$5-P409-U409-V409</f>
        <v>185545</v>
      </c>
      <c r="X409" s="11" t="n">
        <f aca="false">'Tax Tables'!$B$22*(MAX(W409,0)-IF(Calculator!$B$10="Yes",MIN(MAX(W409,0),'Tax Tables'!$B$27)*'Tax Tables'!$B$28+MIN(MAX(MAX(W409,0)-'Tax Tables'!$B$27,0),'Tax Tables'!$B$29)*'Tax Tables'!$B$30,MIN(MAX(W409,0),'Tax Tables'!$B$23)*'Tax Tables'!$B$24+MIN(MAX(MAX(W409,0)-'Tax Tables'!$B$23,0),'Tax Tables'!$B$25)*'Tax Tables'!$B$26))*1-MIN('Tax Tables'!$B$22*(MAX(W409,0)-IF(Calculator!$B$10="Yes",MIN(MAX(W409,0),'Tax Tables'!$B$27)*'Tax Tables'!$B$28+MIN(MAX(MAX(W409,0)-'Tax Tables'!$B$27,0),'Tax Tables'!$B$29)*'Tax Tables'!$B$30,MIN(MAX(W409,0),'Tax Tables'!$B$23)*'Tax Tables'!$B$24+MIN(MAX(MAX(W409,0)-'Tax Tables'!$B$23,0),'Tax Tables'!$B$25)*'Tax Tables'!$B$26))*Calculator!$B$11,Calculator!$B$12)</f>
        <v>15346.325</v>
      </c>
      <c r="Y409" s="11" t="n">
        <f aca="false">MAX(W409,0)-X409</f>
        <v>170198.675</v>
      </c>
      <c r="Z409" s="11" t="n">
        <f aca="false">MIN(IF(P409&gt;0,Calculator!$B$13,0)+T409+Calculator!$B$14,'Tax Tables'!$B$36)</f>
        <v>20200</v>
      </c>
      <c r="AA409" s="11" t="n">
        <f aca="false">MAX(P409-Z409,0)</f>
        <v>177800</v>
      </c>
      <c r="AB409" s="11" t="n">
        <f aca="false">SUMPRODUCT((AA409&gt;'Tax Tables'!$A$5:$A$17)*(AA409-'Tax Tables'!$A$5:$A$17)*'Tax Tables'!$C$5:$C$17)</f>
        <v>17154</v>
      </c>
      <c r="AC409" s="11" t="n">
        <f aca="false">IF(W409&lt;0,-1E+099,P409-T409-AB409+Y409+(T409+U409)*Calculator!$B$9)</f>
        <v>367364.675</v>
      </c>
    </row>
    <row r="410" customFormat="false" ht="15" hidden="false" customHeight="false" outlineLevel="0" collapsed="false">
      <c r="A410" s="11" t="n">
        <f aca="false">397*$B$3</f>
        <v>198500</v>
      </c>
      <c r="B410" s="11" t="n">
        <f aca="false">0</f>
        <v>0</v>
      </c>
      <c r="C410" s="11" t="n">
        <f aca="false">A410-B410</f>
        <v>198500</v>
      </c>
      <c r="D410" s="11" t="n">
        <f aca="false">IF(Calculator!$B$6="Yes",MIN(B410,'Tax Tables'!$B$31*'Tax Tables'!$B$32),0)</f>
        <v>0</v>
      </c>
      <c r="E410" s="11" t="n">
        <f aca="false">D410*Calculator!$B$7</f>
        <v>0</v>
      </c>
      <c r="F410" s="11" t="n">
        <f aca="false">D410*Calculator!$B$8</f>
        <v>0</v>
      </c>
      <c r="G410" s="11" t="n">
        <f aca="false">IF(B410&gt;0,'Tax Tables'!$B$32*MIN(MAX(B410/'Tax Tables'!$B$32*'Tax Tables'!$B$33,'Tax Tables'!$B$34),'Tax Tables'!$B$35),0)</f>
        <v>0</v>
      </c>
      <c r="H410" s="11" t="n">
        <f aca="false">Calculator!$B$5-A410-F410-G410</f>
        <v>201500</v>
      </c>
      <c r="I410" s="11" t="n">
        <f aca="false">'Tax Tables'!$B$22*(MAX(H410,0)-IF(Calculator!$B$10="Yes",MIN(MAX(H410,0),'Tax Tables'!$B$27)*'Tax Tables'!$B$28+MIN(MAX(MAX(H410,0)-'Tax Tables'!$B$27,0),'Tax Tables'!$B$29)*'Tax Tables'!$B$30,MIN(MAX(H410,0),'Tax Tables'!$B$23)*'Tax Tables'!$B$24+MIN(MAX(MAX(H410,0)-'Tax Tables'!$B$23,0),'Tax Tables'!$B$25)*'Tax Tables'!$B$26))*1-MIN('Tax Tables'!$B$22*(MAX(H410,0)-IF(Calculator!$B$10="Yes",MIN(MAX(H410,0),'Tax Tables'!$B$27)*'Tax Tables'!$B$28+MIN(MAX(MAX(H410,0)-'Tax Tables'!$B$27,0),'Tax Tables'!$B$29)*'Tax Tables'!$B$30,MIN(MAX(H410,0),'Tax Tables'!$B$23)*'Tax Tables'!$B$24+MIN(MAX(MAX(H410,0)-'Tax Tables'!$B$23,0),'Tax Tables'!$B$25)*'Tax Tables'!$B$26))*Calculator!$B$11,Calculator!$B$12)</f>
        <v>16830</v>
      </c>
      <c r="J410" s="11" t="n">
        <f aca="false">MAX(H410,0)-I410</f>
        <v>184670</v>
      </c>
      <c r="K410" s="11" t="n">
        <f aca="false">MIN(IF(A410&gt;0,Calculator!$B$13,0)+E410+Calculator!$B$14,'Tax Tables'!$B$36)</f>
        <v>1000</v>
      </c>
      <c r="L410" s="11" t="n">
        <f aca="false">MAX(A410-K410,0)</f>
        <v>197500</v>
      </c>
      <c r="M410" s="11" t="n">
        <f aca="false">SUMPRODUCT((L410&gt;'Tax Tables'!$A$5:$A$17)*(L410-'Tax Tables'!$A$5:$A$17)*'Tax Tables'!$C$5:$C$17)</f>
        <v>20700</v>
      </c>
      <c r="N410" s="11" t="n">
        <f aca="false">IF(H410&lt;0,-1E+099,A410-E410-M410+J410+(E410+F410)*Calculator!$B$9)</f>
        <v>362470</v>
      </c>
      <c r="O410" s="2"/>
      <c r="P410" s="11" t="n">
        <f aca="false">397*$B$3</f>
        <v>198500</v>
      </c>
      <c r="Q410" s="11" t="n">
        <f aca="false">MIN(P410,'Tax Tables'!$B$31*'Tax Tables'!$B$32)</f>
        <v>96000</v>
      </c>
      <c r="R410" s="11" t="n">
        <f aca="false">P410-Q410</f>
        <v>102500</v>
      </c>
      <c r="S410" s="11" t="n">
        <f aca="false">IF(Calculator!$B$6="Yes",MIN(Q410,'Tax Tables'!$B$31*'Tax Tables'!$B$32),0)</f>
        <v>96000</v>
      </c>
      <c r="T410" s="11" t="n">
        <f aca="false">S410*Calculator!$B$7</f>
        <v>19200</v>
      </c>
      <c r="U410" s="11" t="n">
        <f aca="false">S410*Calculator!$B$8</f>
        <v>16320</v>
      </c>
      <c r="V410" s="11" t="n">
        <f aca="false">IF(Q410&gt;0,'Tax Tables'!$B$32*MIN(MAX(Q410/'Tax Tables'!$B$32*'Tax Tables'!$B$33,'Tax Tables'!$B$34),'Tax Tables'!$B$35),0)</f>
        <v>135</v>
      </c>
      <c r="W410" s="11" t="n">
        <f aca="false">Calculator!$B$5-P410-U410-V410</f>
        <v>185045</v>
      </c>
      <c r="X410" s="11" t="n">
        <f aca="false">'Tax Tables'!$B$22*(MAX(W410,0)-IF(Calculator!$B$10="Yes",MIN(MAX(W410,0),'Tax Tables'!$B$27)*'Tax Tables'!$B$28+MIN(MAX(MAX(W410,0)-'Tax Tables'!$B$27,0),'Tax Tables'!$B$29)*'Tax Tables'!$B$30,MIN(MAX(W410,0),'Tax Tables'!$B$23)*'Tax Tables'!$B$24+MIN(MAX(MAX(W410,0)-'Tax Tables'!$B$23,0),'Tax Tables'!$B$25)*'Tax Tables'!$B$26))*1-MIN('Tax Tables'!$B$22*(MAX(W410,0)-IF(Calculator!$B$10="Yes",MIN(MAX(W410,0),'Tax Tables'!$B$27)*'Tax Tables'!$B$28+MIN(MAX(MAX(W410,0)-'Tax Tables'!$B$27,0),'Tax Tables'!$B$29)*'Tax Tables'!$B$30,MIN(MAX(W410,0),'Tax Tables'!$B$23)*'Tax Tables'!$B$24+MIN(MAX(MAX(W410,0)-'Tax Tables'!$B$23,0),'Tax Tables'!$B$25)*'Tax Tables'!$B$26))*Calculator!$B$11,Calculator!$B$12)</f>
        <v>15303.825</v>
      </c>
      <c r="Y410" s="11" t="n">
        <f aca="false">MAX(W410,0)-X410</f>
        <v>169741.175</v>
      </c>
      <c r="Z410" s="11" t="n">
        <f aca="false">MIN(IF(P410&gt;0,Calculator!$B$13,0)+T410+Calculator!$B$14,'Tax Tables'!$B$36)</f>
        <v>20200</v>
      </c>
      <c r="AA410" s="11" t="n">
        <f aca="false">MAX(P410-Z410,0)</f>
        <v>178300</v>
      </c>
      <c r="AB410" s="11" t="n">
        <f aca="false">SUMPRODUCT((AA410&gt;'Tax Tables'!$A$5:$A$17)*(AA410-'Tax Tables'!$A$5:$A$17)*'Tax Tables'!$C$5:$C$17)</f>
        <v>17244</v>
      </c>
      <c r="AC410" s="11" t="n">
        <f aca="false">IF(W410&lt;0,-1E+099,P410-T410-AB410+Y410+(T410+U410)*Calculator!$B$9)</f>
        <v>367317.175</v>
      </c>
    </row>
    <row r="411" customFormat="false" ht="15" hidden="false" customHeight="false" outlineLevel="0" collapsed="false">
      <c r="A411" s="11" t="n">
        <f aca="false">398*$B$3</f>
        <v>199000</v>
      </c>
      <c r="B411" s="11" t="n">
        <f aca="false">0</f>
        <v>0</v>
      </c>
      <c r="C411" s="11" t="n">
        <f aca="false">A411-B411</f>
        <v>199000</v>
      </c>
      <c r="D411" s="11" t="n">
        <f aca="false">IF(Calculator!$B$6="Yes",MIN(B411,'Tax Tables'!$B$31*'Tax Tables'!$B$32),0)</f>
        <v>0</v>
      </c>
      <c r="E411" s="11" t="n">
        <f aca="false">D411*Calculator!$B$7</f>
        <v>0</v>
      </c>
      <c r="F411" s="11" t="n">
        <f aca="false">D411*Calculator!$B$8</f>
        <v>0</v>
      </c>
      <c r="G411" s="11" t="n">
        <f aca="false">IF(B411&gt;0,'Tax Tables'!$B$32*MIN(MAX(B411/'Tax Tables'!$B$32*'Tax Tables'!$B$33,'Tax Tables'!$B$34),'Tax Tables'!$B$35),0)</f>
        <v>0</v>
      </c>
      <c r="H411" s="11" t="n">
        <f aca="false">Calculator!$B$5-A411-F411-G411</f>
        <v>201000</v>
      </c>
      <c r="I411" s="11" t="n">
        <f aca="false">'Tax Tables'!$B$22*(MAX(H411,0)-IF(Calculator!$B$10="Yes",MIN(MAX(H411,0),'Tax Tables'!$B$27)*'Tax Tables'!$B$28+MIN(MAX(MAX(H411,0)-'Tax Tables'!$B$27,0),'Tax Tables'!$B$29)*'Tax Tables'!$B$30,MIN(MAX(H411,0),'Tax Tables'!$B$23)*'Tax Tables'!$B$24+MIN(MAX(MAX(H411,0)-'Tax Tables'!$B$23,0),'Tax Tables'!$B$25)*'Tax Tables'!$B$26))*1-MIN('Tax Tables'!$B$22*(MAX(H411,0)-IF(Calculator!$B$10="Yes",MIN(MAX(H411,0),'Tax Tables'!$B$27)*'Tax Tables'!$B$28+MIN(MAX(MAX(H411,0)-'Tax Tables'!$B$27,0),'Tax Tables'!$B$29)*'Tax Tables'!$B$30,MIN(MAX(H411,0),'Tax Tables'!$B$23)*'Tax Tables'!$B$24+MIN(MAX(MAX(H411,0)-'Tax Tables'!$B$23,0),'Tax Tables'!$B$25)*'Tax Tables'!$B$26))*Calculator!$B$11,Calculator!$B$12)</f>
        <v>16745</v>
      </c>
      <c r="J411" s="11" t="n">
        <f aca="false">MAX(H411,0)-I411</f>
        <v>184255</v>
      </c>
      <c r="K411" s="11" t="n">
        <f aca="false">MIN(IF(A411&gt;0,Calculator!$B$13,0)+E411+Calculator!$B$14,'Tax Tables'!$B$36)</f>
        <v>1000</v>
      </c>
      <c r="L411" s="11" t="n">
        <f aca="false">MAX(A411-K411,0)</f>
        <v>198000</v>
      </c>
      <c r="M411" s="11" t="n">
        <f aca="false">SUMPRODUCT((L411&gt;'Tax Tables'!$A$5:$A$17)*(L411-'Tax Tables'!$A$5:$A$17)*'Tax Tables'!$C$5:$C$17)</f>
        <v>20790</v>
      </c>
      <c r="N411" s="11" t="n">
        <f aca="false">IF(H411&lt;0,-1E+099,A411-E411-M411+J411+(E411+F411)*Calculator!$B$9)</f>
        <v>362465</v>
      </c>
      <c r="O411" s="2"/>
      <c r="P411" s="11" t="n">
        <f aca="false">398*$B$3</f>
        <v>199000</v>
      </c>
      <c r="Q411" s="11" t="n">
        <f aca="false">MIN(P411,'Tax Tables'!$B$31*'Tax Tables'!$B$32)</f>
        <v>96000</v>
      </c>
      <c r="R411" s="11" t="n">
        <f aca="false">P411-Q411</f>
        <v>103000</v>
      </c>
      <c r="S411" s="11" t="n">
        <f aca="false">IF(Calculator!$B$6="Yes",MIN(Q411,'Tax Tables'!$B$31*'Tax Tables'!$B$32),0)</f>
        <v>96000</v>
      </c>
      <c r="T411" s="11" t="n">
        <f aca="false">S411*Calculator!$B$7</f>
        <v>19200</v>
      </c>
      <c r="U411" s="11" t="n">
        <f aca="false">S411*Calculator!$B$8</f>
        <v>16320</v>
      </c>
      <c r="V411" s="11" t="n">
        <f aca="false">IF(Q411&gt;0,'Tax Tables'!$B$32*MIN(MAX(Q411/'Tax Tables'!$B$32*'Tax Tables'!$B$33,'Tax Tables'!$B$34),'Tax Tables'!$B$35),0)</f>
        <v>135</v>
      </c>
      <c r="W411" s="11" t="n">
        <f aca="false">Calculator!$B$5-P411-U411-V411</f>
        <v>184545</v>
      </c>
      <c r="X411" s="11" t="n">
        <f aca="false">'Tax Tables'!$B$22*(MAX(W411,0)-IF(Calculator!$B$10="Yes",MIN(MAX(W411,0),'Tax Tables'!$B$27)*'Tax Tables'!$B$28+MIN(MAX(MAX(W411,0)-'Tax Tables'!$B$27,0),'Tax Tables'!$B$29)*'Tax Tables'!$B$30,MIN(MAX(W411,0),'Tax Tables'!$B$23)*'Tax Tables'!$B$24+MIN(MAX(MAX(W411,0)-'Tax Tables'!$B$23,0),'Tax Tables'!$B$25)*'Tax Tables'!$B$26))*1-MIN('Tax Tables'!$B$22*(MAX(W411,0)-IF(Calculator!$B$10="Yes",MIN(MAX(W411,0),'Tax Tables'!$B$27)*'Tax Tables'!$B$28+MIN(MAX(MAX(W411,0)-'Tax Tables'!$B$27,0),'Tax Tables'!$B$29)*'Tax Tables'!$B$30,MIN(MAX(W411,0),'Tax Tables'!$B$23)*'Tax Tables'!$B$24+MIN(MAX(MAX(W411,0)-'Tax Tables'!$B$23,0),'Tax Tables'!$B$25)*'Tax Tables'!$B$26))*Calculator!$B$11,Calculator!$B$12)</f>
        <v>15261.325</v>
      </c>
      <c r="Y411" s="11" t="n">
        <f aca="false">MAX(W411,0)-X411</f>
        <v>169283.675</v>
      </c>
      <c r="Z411" s="11" t="n">
        <f aca="false">MIN(IF(P411&gt;0,Calculator!$B$13,0)+T411+Calculator!$B$14,'Tax Tables'!$B$36)</f>
        <v>20200</v>
      </c>
      <c r="AA411" s="11" t="n">
        <f aca="false">MAX(P411-Z411,0)</f>
        <v>178800</v>
      </c>
      <c r="AB411" s="11" t="n">
        <f aca="false">SUMPRODUCT((AA411&gt;'Tax Tables'!$A$5:$A$17)*(AA411-'Tax Tables'!$A$5:$A$17)*'Tax Tables'!$C$5:$C$17)</f>
        <v>17334</v>
      </c>
      <c r="AC411" s="11" t="n">
        <f aca="false">IF(W411&lt;0,-1E+099,P411-T411-AB411+Y411+(T411+U411)*Calculator!$B$9)</f>
        <v>367269.675</v>
      </c>
    </row>
    <row r="412" customFormat="false" ht="15" hidden="false" customHeight="false" outlineLevel="0" collapsed="false">
      <c r="A412" s="11" t="n">
        <f aca="false">399*$B$3</f>
        <v>199500</v>
      </c>
      <c r="B412" s="11" t="n">
        <f aca="false">0</f>
        <v>0</v>
      </c>
      <c r="C412" s="11" t="n">
        <f aca="false">A412-B412</f>
        <v>199500</v>
      </c>
      <c r="D412" s="11" t="n">
        <f aca="false">IF(Calculator!$B$6="Yes",MIN(B412,'Tax Tables'!$B$31*'Tax Tables'!$B$32),0)</f>
        <v>0</v>
      </c>
      <c r="E412" s="11" t="n">
        <f aca="false">D412*Calculator!$B$7</f>
        <v>0</v>
      </c>
      <c r="F412" s="11" t="n">
        <f aca="false">D412*Calculator!$B$8</f>
        <v>0</v>
      </c>
      <c r="G412" s="11" t="n">
        <f aca="false">IF(B412&gt;0,'Tax Tables'!$B$32*MIN(MAX(B412/'Tax Tables'!$B$32*'Tax Tables'!$B$33,'Tax Tables'!$B$34),'Tax Tables'!$B$35),0)</f>
        <v>0</v>
      </c>
      <c r="H412" s="11" t="n">
        <f aca="false">Calculator!$B$5-A412-F412-G412</f>
        <v>200500</v>
      </c>
      <c r="I412" s="11" t="n">
        <f aca="false">'Tax Tables'!$B$22*(MAX(H412,0)-IF(Calculator!$B$10="Yes",MIN(MAX(H412,0),'Tax Tables'!$B$27)*'Tax Tables'!$B$28+MIN(MAX(MAX(H412,0)-'Tax Tables'!$B$27,0),'Tax Tables'!$B$29)*'Tax Tables'!$B$30,MIN(MAX(H412,0),'Tax Tables'!$B$23)*'Tax Tables'!$B$24+MIN(MAX(MAX(H412,0)-'Tax Tables'!$B$23,0),'Tax Tables'!$B$25)*'Tax Tables'!$B$26))*1-MIN('Tax Tables'!$B$22*(MAX(H412,0)-IF(Calculator!$B$10="Yes",MIN(MAX(H412,0),'Tax Tables'!$B$27)*'Tax Tables'!$B$28+MIN(MAX(MAX(H412,0)-'Tax Tables'!$B$27,0),'Tax Tables'!$B$29)*'Tax Tables'!$B$30,MIN(MAX(H412,0),'Tax Tables'!$B$23)*'Tax Tables'!$B$24+MIN(MAX(MAX(H412,0)-'Tax Tables'!$B$23,0),'Tax Tables'!$B$25)*'Tax Tables'!$B$26))*Calculator!$B$11,Calculator!$B$12)</f>
        <v>16660</v>
      </c>
      <c r="J412" s="11" t="n">
        <f aca="false">MAX(H412,0)-I412</f>
        <v>183840</v>
      </c>
      <c r="K412" s="11" t="n">
        <f aca="false">MIN(IF(A412&gt;0,Calculator!$B$13,0)+E412+Calculator!$B$14,'Tax Tables'!$B$36)</f>
        <v>1000</v>
      </c>
      <c r="L412" s="11" t="n">
        <f aca="false">MAX(A412-K412,0)</f>
        <v>198500</v>
      </c>
      <c r="M412" s="11" t="n">
        <f aca="false">SUMPRODUCT((L412&gt;'Tax Tables'!$A$5:$A$17)*(L412-'Tax Tables'!$A$5:$A$17)*'Tax Tables'!$C$5:$C$17)</f>
        <v>20880</v>
      </c>
      <c r="N412" s="11" t="n">
        <f aca="false">IF(H412&lt;0,-1E+099,A412-E412-M412+J412+(E412+F412)*Calculator!$B$9)</f>
        <v>362460</v>
      </c>
      <c r="O412" s="2"/>
      <c r="P412" s="11" t="n">
        <f aca="false">399*$B$3</f>
        <v>199500</v>
      </c>
      <c r="Q412" s="11" t="n">
        <f aca="false">MIN(P412,'Tax Tables'!$B$31*'Tax Tables'!$B$32)</f>
        <v>96000</v>
      </c>
      <c r="R412" s="11" t="n">
        <f aca="false">P412-Q412</f>
        <v>103500</v>
      </c>
      <c r="S412" s="11" t="n">
        <f aca="false">IF(Calculator!$B$6="Yes",MIN(Q412,'Tax Tables'!$B$31*'Tax Tables'!$B$32),0)</f>
        <v>96000</v>
      </c>
      <c r="T412" s="11" t="n">
        <f aca="false">S412*Calculator!$B$7</f>
        <v>19200</v>
      </c>
      <c r="U412" s="11" t="n">
        <f aca="false">S412*Calculator!$B$8</f>
        <v>16320</v>
      </c>
      <c r="V412" s="11" t="n">
        <f aca="false">IF(Q412&gt;0,'Tax Tables'!$B$32*MIN(MAX(Q412/'Tax Tables'!$B$32*'Tax Tables'!$B$33,'Tax Tables'!$B$34),'Tax Tables'!$B$35),0)</f>
        <v>135</v>
      </c>
      <c r="W412" s="11" t="n">
        <f aca="false">Calculator!$B$5-P412-U412-V412</f>
        <v>184045</v>
      </c>
      <c r="X412" s="11" t="n">
        <f aca="false">'Tax Tables'!$B$22*(MAX(W412,0)-IF(Calculator!$B$10="Yes",MIN(MAX(W412,0),'Tax Tables'!$B$27)*'Tax Tables'!$B$28+MIN(MAX(MAX(W412,0)-'Tax Tables'!$B$27,0),'Tax Tables'!$B$29)*'Tax Tables'!$B$30,MIN(MAX(W412,0),'Tax Tables'!$B$23)*'Tax Tables'!$B$24+MIN(MAX(MAX(W412,0)-'Tax Tables'!$B$23,0),'Tax Tables'!$B$25)*'Tax Tables'!$B$26))*1-MIN('Tax Tables'!$B$22*(MAX(W412,0)-IF(Calculator!$B$10="Yes",MIN(MAX(W412,0),'Tax Tables'!$B$27)*'Tax Tables'!$B$28+MIN(MAX(MAX(W412,0)-'Tax Tables'!$B$27,0),'Tax Tables'!$B$29)*'Tax Tables'!$B$30,MIN(MAX(W412,0),'Tax Tables'!$B$23)*'Tax Tables'!$B$24+MIN(MAX(MAX(W412,0)-'Tax Tables'!$B$23,0),'Tax Tables'!$B$25)*'Tax Tables'!$B$26))*Calculator!$B$11,Calculator!$B$12)</f>
        <v>15218.825</v>
      </c>
      <c r="Y412" s="11" t="n">
        <f aca="false">MAX(W412,0)-X412</f>
        <v>168826.175</v>
      </c>
      <c r="Z412" s="11" t="n">
        <f aca="false">MIN(IF(P412&gt;0,Calculator!$B$13,0)+T412+Calculator!$B$14,'Tax Tables'!$B$36)</f>
        <v>20200</v>
      </c>
      <c r="AA412" s="11" t="n">
        <f aca="false">MAX(P412-Z412,0)</f>
        <v>179300</v>
      </c>
      <c r="AB412" s="11" t="n">
        <f aca="false">SUMPRODUCT((AA412&gt;'Tax Tables'!$A$5:$A$17)*(AA412-'Tax Tables'!$A$5:$A$17)*'Tax Tables'!$C$5:$C$17)</f>
        <v>17424</v>
      </c>
      <c r="AC412" s="11" t="n">
        <f aca="false">IF(W412&lt;0,-1E+099,P412-T412-AB412+Y412+(T412+U412)*Calculator!$B$9)</f>
        <v>367222.175</v>
      </c>
    </row>
    <row r="413" customFormat="false" ht="15" hidden="false" customHeight="false" outlineLevel="0" collapsed="false">
      <c r="A413" s="11" t="n">
        <f aca="false">400*$B$3</f>
        <v>200000</v>
      </c>
      <c r="B413" s="11" t="n">
        <f aca="false">0</f>
        <v>0</v>
      </c>
      <c r="C413" s="11" t="n">
        <f aca="false">A413-B413</f>
        <v>200000</v>
      </c>
      <c r="D413" s="11" t="n">
        <f aca="false">IF(Calculator!$B$6="Yes",MIN(B413,'Tax Tables'!$B$31*'Tax Tables'!$B$32),0)</f>
        <v>0</v>
      </c>
      <c r="E413" s="11" t="n">
        <f aca="false">D413*Calculator!$B$7</f>
        <v>0</v>
      </c>
      <c r="F413" s="11" t="n">
        <f aca="false">D413*Calculator!$B$8</f>
        <v>0</v>
      </c>
      <c r="G413" s="11" t="n">
        <f aca="false">IF(B413&gt;0,'Tax Tables'!$B$32*MIN(MAX(B413/'Tax Tables'!$B$32*'Tax Tables'!$B$33,'Tax Tables'!$B$34),'Tax Tables'!$B$35),0)</f>
        <v>0</v>
      </c>
      <c r="H413" s="11" t="n">
        <f aca="false">Calculator!$B$5-A413-F413-G413</f>
        <v>200000</v>
      </c>
      <c r="I413" s="11" t="n">
        <f aca="false">'Tax Tables'!$B$22*(MAX(H413,0)-IF(Calculator!$B$10="Yes",MIN(MAX(H413,0),'Tax Tables'!$B$27)*'Tax Tables'!$B$28+MIN(MAX(MAX(H413,0)-'Tax Tables'!$B$27,0),'Tax Tables'!$B$29)*'Tax Tables'!$B$30,MIN(MAX(H413,0),'Tax Tables'!$B$23)*'Tax Tables'!$B$24+MIN(MAX(MAX(H413,0)-'Tax Tables'!$B$23,0),'Tax Tables'!$B$25)*'Tax Tables'!$B$26))*1-MIN('Tax Tables'!$B$22*(MAX(H413,0)-IF(Calculator!$B$10="Yes",MIN(MAX(H413,0),'Tax Tables'!$B$27)*'Tax Tables'!$B$28+MIN(MAX(MAX(H413,0)-'Tax Tables'!$B$27,0),'Tax Tables'!$B$29)*'Tax Tables'!$B$30,MIN(MAX(H413,0),'Tax Tables'!$B$23)*'Tax Tables'!$B$24+MIN(MAX(MAX(H413,0)-'Tax Tables'!$B$23,0),'Tax Tables'!$B$25)*'Tax Tables'!$B$26))*Calculator!$B$11,Calculator!$B$12)</f>
        <v>16575</v>
      </c>
      <c r="J413" s="11" t="n">
        <f aca="false">MAX(H413,0)-I413</f>
        <v>183425</v>
      </c>
      <c r="K413" s="11" t="n">
        <f aca="false">MIN(IF(A413&gt;0,Calculator!$B$13,0)+E413+Calculator!$B$14,'Tax Tables'!$B$36)</f>
        <v>1000</v>
      </c>
      <c r="L413" s="11" t="n">
        <f aca="false">MAX(A413-K413,0)</f>
        <v>199000</v>
      </c>
      <c r="M413" s="11" t="n">
        <f aca="false">SUMPRODUCT((L413&gt;'Tax Tables'!$A$5:$A$17)*(L413-'Tax Tables'!$A$5:$A$17)*'Tax Tables'!$C$5:$C$17)</f>
        <v>20970</v>
      </c>
      <c r="N413" s="11" t="n">
        <f aca="false">IF(H413&lt;0,-1E+099,A413-E413-M413+J413+(E413+F413)*Calculator!$B$9)</f>
        <v>362455</v>
      </c>
      <c r="O413" s="2"/>
      <c r="P413" s="11" t="n">
        <f aca="false">400*$B$3</f>
        <v>200000</v>
      </c>
      <c r="Q413" s="11" t="n">
        <f aca="false">MIN(P413,'Tax Tables'!$B$31*'Tax Tables'!$B$32)</f>
        <v>96000</v>
      </c>
      <c r="R413" s="11" t="n">
        <f aca="false">P413-Q413</f>
        <v>104000</v>
      </c>
      <c r="S413" s="11" t="n">
        <f aca="false">IF(Calculator!$B$6="Yes",MIN(Q413,'Tax Tables'!$B$31*'Tax Tables'!$B$32),0)</f>
        <v>96000</v>
      </c>
      <c r="T413" s="11" t="n">
        <f aca="false">S413*Calculator!$B$7</f>
        <v>19200</v>
      </c>
      <c r="U413" s="11" t="n">
        <f aca="false">S413*Calculator!$B$8</f>
        <v>16320</v>
      </c>
      <c r="V413" s="11" t="n">
        <f aca="false">IF(Q413&gt;0,'Tax Tables'!$B$32*MIN(MAX(Q413/'Tax Tables'!$B$32*'Tax Tables'!$B$33,'Tax Tables'!$B$34),'Tax Tables'!$B$35),0)</f>
        <v>135</v>
      </c>
      <c r="W413" s="11" t="n">
        <f aca="false">Calculator!$B$5-P413-U413-V413</f>
        <v>183545</v>
      </c>
      <c r="X413" s="11" t="n">
        <f aca="false">'Tax Tables'!$B$22*(MAX(W413,0)-IF(Calculator!$B$10="Yes",MIN(MAX(W413,0),'Tax Tables'!$B$27)*'Tax Tables'!$B$28+MIN(MAX(MAX(W413,0)-'Tax Tables'!$B$27,0),'Tax Tables'!$B$29)*'Tax Tables'!$B$30,MIN(MAX(W413,0),'Tax Tables'!$B$23)*'Tax Tables'!$B$24+MIN(MAX(MAX(W413,0)-'Tax Tables'!$B$23,0),'Tax Tables'!$B$25)*'Tax Tables'!$B$26))*1-MIN('Tax Tables'!$B$22*(MAX(W413,0)-IF(Calculator!$B$10="Yes",MIN(MAX(W413,0),'Tax Tables'!$B$27)*'Tax Tables'!$B$28+MIN(MAX(MAX(W413,0)-'Tax Tables'!$B$27,0),'Tax Tables'!$B$29)*'Tax Tables'!$B$30,MIN(MAX(W413,0),'Tax Tables'!$B$23)*'Tax Tables'!$B$24+MIN(MAX(MAX(W413,0)-'Tax Tables'!$B$23,0),'Tax Tables'!$B$25)*'Tax Tables'!$B$26))*Calculator!$B$11,Calculator!$B$12)</f>
        <v>15176.325</v>
      </c>
      <c r="Y413" s="11" t="n">
        <f aca="false">MAX(W413,0)-X413</f>
        <v>168368.675</v>
      </c>
      <c r="Z413" s="11" t="n">
        <f aca="false">MIN(IF(P413&gt;0,Calculator!$B$13,0)+T413+Calculator!$B$14,'Tax Tables'!$B$36)</f>
        <v>20200</v>
      </c>
      <c r="AA413" s="11" t="n">
        <f aca="false">MAX(P413-Z413,0)</f>
        <v>179800</v>
      </c>
      <c r="AB413" s="11" t="n">
        <f aca="false">SUMPRODUCT((AA413&gt;'Tax Tables'!$A$5:$A$17)*(AA413-'Tax Tables'!$A$5:$A$17)*'Tax Tables'!$C$5:$C$17)</f>
        <v>17514</v>
      </c>
      <c r="AC413" s="11" t="n">
        <f aca="false">IF(W413&lt;0,-1E+099,P413-T413-AB413+Y413+(T413+U413)*Calculator!$B$9)</f>
        <v>367174.675</v>
      </c>
    </row>
    <row r="414" customFormat="false" ht="15" hidden="false" customHeight="false" outlineLevel="0" collapsed="false">
      <c r="A414" s="11" t="n">
        <f aca="false">401*$B$3</f>
        <v>200500</v>
      </c>
      <c r="B414" s="11" t="n">
        <f aca="false">0</f>
        <v>0</v>
      </c>
      <c r="C414" s="11" t="n">
        <f aca="false">A414-B414</f>
        <v>200500</v>
      </c>
      <c r="D414" s="11" t="n">
        <f aca="false">IF(Calculator!$B$6="Yes",MIN(B414,'Tax Tables'!$B$31*'Tax Tables'!$B$32),0)</f>
        <v>0</v>
      </c>
      <c r="E414" s="11" t="n">
        <f aca="false">D414*Calculator!$B$7</f>
        <v>0</v>
      </c>
      <c r="F414" s="11" t="n">
        <f aca="false">D414*Calculator!$B$8</f>
        <v>0</v>
      </c>
      <c r="G414" s="11" t="n">
        <f aca="false">IF(B414&gt;0,'Tax Tables'!$B$32*MIN(MAX(B414/'Tax Tables'!$B$32*'Tax Tables'!$B$33,'Tax Tables'!$B$34),'Tax Tables'!$B$35),0)</f>
        <v>0</v>
      </c>
      <c r="H414" s="11" t="n">
        <f aca="false">Calculator!$B$5-A414-F414-G414</f>
        <v>199500</v>
      </c>
      <c r="I414" s="11" t="n">
        <f aca="false">'Tax Tables'!$B$22*(MAX(H414,0)-IF(Calculator!$B$10="Yes",MIN(MAX(H414,0),'Tax Tables'!$B$27)*'Tax Tables'!$B$28+MIN(MAX(MAX(H414,0)-'Tax Tables'!$B$27,0),'Tax Tables'!$B$29)*'Tax Tables'!$B$30,MIN(MAX(H414,0),'Tax Tables'!$B$23)*'Tax Tables'!$B$24+MIN(MAX(MAX(H414,0)-'Tax Tables'!$B$23,0),'Tax Tables'!$B$25)*'Tax Tables'!$B$26))*1-MIN('Tax Tables'!$B$22*(MAX(H414,0)-IF(Calculator!$B$10="Yes",MIN(MAX(H414,0),'Tax Tables'!$B$27)*'Tax Tables'!$B$28+MIN(MAX(MAX(H414,0)-'Tax Tables'!$B$27,0),'Tax Tables'!$B$29)*'Tax Tables'!$B$30,MIN(MAX(H414,0),'Tax Tables'!$B$23)*'Tax Tables'!$B$24+MIN(MAX(MAX(H414,0)-'Tax Tables'!$B$23,0),'Tax Tables'!$B$25)*'Tax Tables'!$B$26))*Calculator!$B$11,Calculator!$B$12)</f>
        <v>16532.5</v>
      </c>
      <c r="J414" s="11" t="n">
        <f aca="false">MAX(H414,0)-I414</f>
        <v>182967.5</v>
      </c>
      <c r="K414" s="11" t="n">
        <f aca="false">MIN(IF(A414&gt;0,Calculator!$B$13,0)+E414+Calculator!$B$14,'Tax Tables'!$B$36)</f>
        <v>1000</v>
      </c>
      <c r="L414" s="11" t="n">
        <f aca="false">MAX(A414-K414,0)</f>
        <v>199500</v>
      </c>
      <c r="M414" s="11" t="n">
        <f aca="false">SUMPRODUCT((L414&gt;'Tax Tables'!$A$5:$A$17)*(L414-'Tax Tables'!$A$5:$A$17)*'Tax Tables'!$C$5:$C$17)</f>
        <v>21060</v>
      </c>
      <c r="N414" s="11" t="n">
        <f aca="false">IF(H414&lt;0,-1E+099,A414-E414-M414+J414+(E414+F414)*Calculator!$B$9)</f>
        <v>362407.5</v>
      </c>
      <c r="O414" s="2"/>
      <c r="P414" s="11" t="n">
        <f aca="false">401*$B$3</f>
        <v>200500</v>
      </c>
      <c r="Q414" s="11" t="n">
        <f aca="false">MIN(P414,'Tax Tables'!$B$31*'Tax Tables'!$B$32)</f>
        <v>96000</v>
      </c>
      <c r="R414" s="11" t="n">
        <f aca="false">P414-Q414</f>
        <v>104500</v>
      </c>
      <c r="S414" s="11" t="n">
        <f aca="false">IF(Calculator!$B$6="Yes",MIN(Q414,'Tax Tables'!$B$31*'Tax Tables'!$B$32),0)</f>
        <v>96000</v>
      </c>
      <c r="T414" s="11" t="n">
        <f aca="false">S414*Calculator!$B$7</f>
        <v>19200</v>
      </c>
      <c r="U414" s="11" t="n">
        <f aca="false">S414*Calculator!$B$8</f>
        <v>16320</v>
      </c>
      <c r="V414" s="11" t="n">
        <f aca="false">IF(Q414&gt;0,'Tax Tables'!$B$32*MIN(MAX(Q414/'Tax Tables'!$B$32*'Tax Tables'!$B$33,'Tax Tables'!$B$34),'Tax Tables'!$B$35),0)</f>
        <v>135</v>
      </c>
      <c r="W414" s="11" t="n">
        <f aca="false">Calculator!$B$5-P414-U414-V414</f>
        <v>183045</v>
      </c>
      <c r="X414" s="11" t="n">
        <f aca="false">'Tax Tables'!$B$22*(MAX(W414,0)-IF(Calculator!$B$10="Yes",MIN(MAX(W414,0),'Tax Tables'!$B$27)*'Tax Tables'!$B$28+MIN(MAX(MAX(W414,0)-'Tax Tables'!$B$27,0),'Tax Tables'!$B$29)*'Tax Tables'!$B$30,MIN(MAX(W414,0),'Tax Tables'!$B$23)*'Tax Tables'!$B$24+MIN(MAX(MAX(W414,0)-'Tax Tables'!$B$23,0),'Tax Tables'!$B$25)*'Tax Tables'!$B$26))*1-MIN('Tax Tables'!$B$22*(MAX(W414,0)-IF(Calculator!$B$10="Yes",MIN(MAX(W414,0),'Tax Tables'!$B$27)*'Tax Tables'!$B$28+MIN(MAX(MAX(W414,0)-'Tax Tables'!$B$27,0),'Tax Tables'!$B$29)*'Tax Tables'!$B$30,MIN(MAX(W414,0),'Tax Tables'!$B$23)*'Tax Tables'!$B$24+MIN(MAX(MAX(W414,0)-'Tax Tables'!$B$23,0),'Tax Tables'!$B$25)*'Tax Tables'!$B$26))*Calculator!$B$11,Calculator!$B$12)</f>
        <v>15133.825</v>
      </c>
      <c r="Y414" s="11" t="n">
        <f aca="false">MAX(W414,0)-X414</f>
        <v>167911.175</v>
      </c>
      <c r="Z414" s="11" t="n">
        <f aca="false">MIN(IF(P414&gt;0,Calculator!$B$13,0)+T414+Calculator!$B$14,'Tax Tables'!$B$36)</f>
        <v>20200</v>
      </c>
      <c r="AA414" s="11" t="n">
        <f aca="false">MAX(P414-Z414,0)</f>
        <v>180300</v>
      </c>
      <c r="AB414" s="11" t="n">
        <f aca="false">SUMPRODUCT((AA414&gt;'Tax Tables'!$A$5:$A$17)*(AA414-'Tax Tables'!$A$5:$A$17)*'Tax Tables'!$C$5:$C$17)</f>
        <v>17604</v>
      </c>
      <c r="AC414" s="11" t="n">
        <f aca="false">IF(W414&lt;0,-1E+099,P414-T414-AB414+Y414+(T414+U414)*Calculator!$B$9)</f>
        <v>367127.175</v>
      </c>
    </row>
    <row r="415" customFormat="false" ht="15" hidden="false" customHeight="false" outlineLevel="0" collapsed="false">
      <c r="A415" s="11" t="n">
        <f aca="false">402*$B$3</f>
        <v>201000</v>
      </c>
      <c r="B415" s="11" t="n">
        <f aca="false">0</f>
        <v>0</v>
      </c>
      <c r="C415" s="11" t="n">
        <f aca="false">A415-B415</f>
        <v>201000</v>
      </c>
      <c r="D415" s="11" t="n">
        <f aca="false">IF(Calculator!$B$6="Yes",MIN(B415,'Tax Tables'!$B$31*'Tax Tables'!$B$32),0)</f>
        <v>0</v>
      </c>
      <c r="E415" s="11" t="n">
        <f aca="false">D415*Calculator!$B$7</f>
        <v>0</v>
      </c>
      <c r="F415" s="11" t="n">
        <f aca="false">D415*Calculator!$B$8</f>
        <v>0</v>
      </c>
      <c r="G415" s="11" t="n">
        <f aca="false">IF(B415&gt;0,'Tax Tables'!$B$32*MIN(MAX(B415/'Tax Tables'!$B$32*'Tax Tables'!$B$33,'Tax Tables'!$B$34),'Tax Tables'!$B$35),0)</f>
        <v>0</v>
      </c>
      <c r="H415" s="11" t="n">
        <f aca="false">Calculator!$B$5-A415-F415-G415</f>
        <v>199000</v>
      </c>
      <c r="I415" s="11" t="n">
        <f aca="false">'Tax Tables'!$B$22*(MAX(H415,0)-IF(Calculator!$B$10="Yes",MIN(MAX(H415,0),'Tax Tables'!$B$27)*'Tax Tables'!$B$28+MIN(MAX(MAX(H415,0)-'Tax Tables'!$B$27,0),'Tax Tables'!$B$29)*'Tax Tables'!$B$30,MIN(MAX(H415,0),'Tax Tables'!$B$23)*'Tax Tables'!$B$24+MIN(MAX(MAX(H415,0)-'Tax Tables'!$B$23,0),'Tax Tables'!$B$25)*'Tax Tables'!$B$26))*1-MIN('Tax Tables'!$B$22*(MAX(H415,0)-IF(Calculator!$B$10="Yes",MIN(MAX(H415,0),'Tax Tables'!$B$27)*'Tax Tables'!$B$28+MIN(MAX(MAX(H415,0)-'Tax Tables'!$B$27,0),'Tax Tables'!$B$29)*'Tax Tables'!$B$30,MIN(MAX(H415,0),'Tax Tables'!$B$23)*'Tax Tables'!$B$24+MIN(MAX(MAX(H415,0)-'Tax Tables'!$B$23,0),'Tax Tables'!$B$25)*'Tax Tables'!$B$26))*Calculator!$B$11,Calculator!$B$12)</f>
        <v>16490</v>
      </c>
      <c r="J415" s="11" t="n">
        <f aca="false">MAX(H415,0)-I415</f>
        <v>182510</v>
      </c>
      <c r="K415" s="11" t="n">
        <f aca="false">MIN(IF(A415&gt;0,Calculator!$B$13,0)+E415+Calculator!$B$14,'Tax Tables'!$B$36)</f>
        <v>1000</v>
      </c>
      <c r="L415" s="11" t="n">
        <f aca="false">MAX(A415-K415,0)</f>
        <v>200000</v>
      </c>
      <c r="M415" s="11" t="n">
        <f aca="false">SUMPRODUCT((L415&gt;'Tax Tables'!$A$5:$A$17)*(L415-'Tax Tables'!$A$5:$A$17)*'Tax Tables'!$C$5:$C$17)</f>
        <v>21150</v>
      </c>
      <c r="N415" s="11" t="n">
        <f aca="false">IF(H415&lt;0,-1E+099,A415-E415-M415+J415+(E415+F415)*Calculator!$B$9)</f>
        <v>362360</v>
      </c>
      <c r="O415" s="2"/>
      <c r="P415" s="11" t="n">
        <f aca="false">402*$B$3</f>
        <v>201000</v>
      </c>
      <c r="Q415" s="11" t="n">
        <f aca="false">MIN(P415,'Tax Tables'!$B$31*'Tax Tables'!$B$32)</f>
        <v>96000</v>
      </c>
      <c r="R415" s="11" t="n">
        <f aca="false">P415-Q415</f>
        <v>105000</v>
      </c>
      <c r="S415" s="11" t="n">
        <f aca="false">IF(Calculator!$B$6="Yes",MIN(Q415,'Tax Tables'!$B$31*'Tax Tables'!$B$32),0)</f>
        <v>96000</v>
      </c>
      <c r="T415" s="11" t="n">
        <f aca="false">S415*Calculator!$B$7</f>
        <v>19200</v>
      </c>
      <c r="U415" s="11" t="n">
        <f aca="false">S415*Calculator!$B$8</f>
        <v>16320</v>
      </c>
      <c r="V415" s="11" t="n">
        <f aca="false">IF(Q415&gt;0,'Tax Tables'!$B$32*MIN(MAX(Q415/'Tax Tables'!$B$32*'Tax Tables'!$B$33,'Tax Tables'!$B$34),'Tax Tables'!$B$35),0)</f>
        <v>135</v>
      </c>
      <c r="W415" s="11" t="n">
        <f aca="false">Calculator!$B$5-P415-U415-V415</f>
        <v>182545</v>
      </c>
      <c r="X415" s="11" t="n">
        <f aca="false">'Tax Tables'!$B$22*(MAX(W415,0)-IF(Calculator!$B$10="Yes",MIN(MAX(W415,0),'Tax Tables'!$B$27)*'Tax Tables'!$B$28+MIN(MAX(MAX(W415,0)-'Tax Tables'!$B$27,0),'Tax Tables'!$B$29)*'Tax Tables'!$B$30,MIN(MAX(W415,0),'Tax Tables'!$B$23)*'Tax Tables'!$B$24+MIN(MAX(MAX(W415,0)-'Tax Tables'!$B$23,0),'Tax Tables'!$B$25)*'Tax Tables'!$B$26))*1-MIN('Tax Tables'!$B$22*(MAX(W415,0)-IF(Calculator!$B$10="Yes",MIN(MAX(W415,0),'Tax Tables'!$B$27)*'Tax Tables'!$B$28+MIN(MAX(MAX(W415,0)-'Tax Tables'!$B$27,0),'Tax Tables'!$B$29)*'Tax Tables'!$B$30,MIN(MAX(W415,0),'Tax Tables'!$B$23)*'Tax Tables'!$B$24+MIN(MAX(MAX(W415,0)-'Tax Tables'!$B$23,0),'Tax Tables'!$B$25)*'Tax Tables'!$B$26))*Calculator!$B$11,Calculator!$B$12)</f>
        <v>15091.325</v>
      </c>
      <c r="Y415" s="11" t="n">
        <f aca="false">MAX(W415,0)-X415</f>
        <v>167453.675</v>
      </c>
      <c r="Z415" s="11" t="n">
        <f aca="false">MIN(IF(P415&gt;0,Calculator!$B$13,0)+T415+Calculator!$B$14,'Tax Tables'!$B$36)</f>
        <v>20200</v>
      </c>
      <c r="AA415" s="11" t="n">
        <f aca="false">MAX(P415-Z415,0)</f>
        <v>180800</v>
      </c>
      <c r="AB415" s="11" t="n">
        <f aca="false">SUMPRODUCT((AA415&gt;'Tax Tables'!$A$5:$A$17)*(AA415-'Tax Tables'!$A$5:$A$17)*'Tax Tables'!$C$5:$C$17)</f>
        <v>17694</v>
      </c>
      <c r="AC415" s="11" t="n">
        <f aca="false">IF(W415&lt;0,-1E+099,P415-T415-AB415+Y415+(T415+U415)*Calculator!$B$9)</f>
        <v>367079.675</v>
      </c>
    </row>
    <row r="416" customFormat="false" ht="15" hidden="false" customHeight="false" outlineLevel="0" collapsed="false">
      <c r="A416" s="11" t="n">
        <f aca="false">403*$B$3</f>
        <v>201500</v>
      </c>
      <c r="B416" s="11" t="n">
        <f aca="false">0</f>
        <v>0</v>
      </c>
      <c r="C416" s="11" t="n">
        <f aca="false">A416-B416</f>
        <v>201500</v>
      </c>
      <c r="D416" s="11" t="n">
        <f aca="false">IF(Calculator!$B$6="Yes",MIN(B416,'Tax Tables'!$B$31*'Tax Tables'!$B$32),0)</f>
        <v>0</v>
      </c>
      <c r="E416" s="11" t="n">
        <f aca="false">D416*Calculator!$B$7</f>
        <v>0</v>
      </c>
      <c r="F416" s="11" t="n">
        <f aca="false">D416*Calculator!$B$8</f>
        <v>0</v>
      </c>
      <c r="G416" s="11" t="n">
        <f aca="false">IF(B416&gt;0,'Tax Tables'!$B$32*MIN(MAX(B416/'Tax Tables'!$B$32*'Tax Tables'!$B$33,'Tax Tables'!$B$34),'Tax Tables'!$B$35),0)</f>
        <v>0</v>
      </c>
      <c r="H416" s="11" t="n">
        <f aca="false">Calculator!$B$5-A416-F416-G416</f>
        <v>198500</v>
      </c>
      <c r="I416" s="11" t="n">
        <f aca="false">'Tax Tables'!$B$22*(MAX(H416,0)-IF(Calculator!$B$10="Yes",MIN(MAX(H416,0),'Tax Tables'!$B$27)*'Tax Tables'!$B$28+MIN(MAX(MAX(H416,0)-'Tax Tables'!$B$27,0),'Tax Tables'!$B$29)*'Tax Tables'!$B$30,MIN(MAX(H416,0),'Tax Tables'!$B$23)*'Tax Tables'!$B$24+MIN(MAX(MAX(H416,0)-'Tax Tables'!$B$23,0),'Tax Tables'!$B$25)*'Tax Tables'!$B$26))*1-MIN('Tax Tables'!$B$22*(MAX(H416,0)-IF(Calculator!$B$10="Yes",MIN(MAX(H416,0),'Tax Tables'!$B$27)*'Tax Tables'!$B$28+MIN(MAX(MAX(H416,0)-'Tax Tables'!$B$27,0),'Tax Tables'!$B$29)*'Tax Tables'!$B$30,MIN(MAX(H416,0),'Tax Tables'!$B$23)*'Tax Tables'!$B$24+MIN(MAX(MAX(H416,0)-'Tax Tables'!$B$23,0),'Tax Tables'!$B$25)*'Tax Tables'!$B$26))*Calculator!$B$11,Calculator!$B$12)</f>
        <v>16447.5</v>
      </c>
      <c r="J416" s="11" t="n">
        <f aca="false">MAX(H416,0)-I416</f>
        <v>182052.5</v>
      </c>
      <c r="K416" s="11" t="n">
        <f aca="false">MIN(IF(A416&gt;0,Calculator!$B$13,0)+E416+Calculator!$B$14,'Tax Tables'!$B$36)</f>
        <v>1000</v>
      </c>
      <c r="L416" s="11" t="n">
        <f aca="false">MAX(A416-K416,0)</f>
        <v>200500</v>
      </c>
      <c r="M416" s="11" t="n">
        <f aca="false">SUMPRODUCT((L416&gt;'Tax Tables'!$A$5:$A$17)*(L416-'Tax Tables'!$A$5:$A$17)*'Tax Tables'!$C$5:$C$17)</f>
        <v>21245</v>
      </c>
      <c r="N416" s="11" t="n">
        <f aca="false">IF(H416&lt;0,-1E+099,A416-E416-M416+J416+(E416+F416)*Calculator!$B$9)</f>
        <v>362307.5</v>
      </c>
      <c r="O416" s="2"/>
      <c r="P416" s="11" t="n">
        <f aca="false">403*$B$3</f>
        <v>201500</v>
      </c>
      <c r="Q416" s="11" t="n">
        <f aca="false">MIN(P416,'Tax Tables'!$B$31*'Tax Tables'!$B$32)</f>
        <v>96000</v>
      </c>
      <c r="R416" s="11" t="n">
        <f aca="false">P416-Q416</f>
        <v>105500</v>
      </c>
      <c r="S416" s="11" t="n">
        <f aca="false">IF(Calculator!$B$6="Yes",MIN(Q416,'Tax Tables'!$B$31*'Tax Tables'!$B$32),0)</f>
        <v>96000</v>
      </c>
      <c r="T416" s="11" t="n">
        <f aca="false">S416*Calculator!$B$7</f>
        <v>19200</v>
      </c>
      <c r="U416" s="11" t="n">
        <f aca="false">S416*Calculator!$B$8</f>
        <v>16320</v>
      </c>
      <c r="V416" s="11" t="n">
        <f aca="false">IF(Q416&gt;0,'Tax Tables'!$B$32*MIN(MAX(Q416/'Tax Tables'!$B$32*'Tax Tables'!$B$33,'Tax Tables'!$B$34),'Tax Tables'!$B$35),0)</f>
        <v>135</v>
      </c>
      <c r="W416" s="11" t="n">
        <f aca="false">Calculator!$B$5-P416-U416-V416</f>
        <v>182045</v>
      </c>
      <c r="X416" s="11" t="n">
        <f aca="false">'Tax Tables'!$B$22*(MAX(W416,0)-IF(Calculator!$B$10="Yes",MIN(MAX(W416,0),'Tax Tables'!$B$27)*'Tax Tables'!$B$28+MIN(MAX(MAX(W416,0)-'Tax Tables'!$B$27,0),'Tax Tables'!$B$29)*'Tax Tables'!$B$30,MIN(MAX(W416,0),'Tax Tables'!$B$23)*'Tax Tables'!$B$24+MIN(MAX(MAX(W416,0)-'Tax Tables'!$B$23,0),'Tax Tables'!$B$25)*'Tax Tables'!$B$26))*1-MIN('Tax Tables'!$B$22*(MAX(W416,0)-IF(Calculator!$B$10="Yes",MIN(MAX(W416,0),'Tax Tables'!$B$27)*'Tax Tables'!$B$28+MIN(MAX(MAX(W416,0)-'Tax Tables'!$B$27,0),'Tax Tables'!$B$29)*'Tax Tables'!$B$30,MIN(MAX(W416,0),'Tax Tables'!$B$23)*'Tax Tables'!$B$24+MIN(MAX(MAX(W416,0)-'Tax Tables'!$B$23,0),'Tax Tables'!$B$25)*'Tax Tables'!$B$26))*Calculator!$B$11,Calculator!$B$12)</f>
        <v>15048.825</v>
      </c>
      <c r="Y416" s="11" t="n">
        <f aca="false">MAX(W416,0)-X416</f>
        <v>166996.175</v>
      </c>
      <c r="Z416" s="11" t="n">
        <f aca="false">MIN(IF(P416&gt;0,Calculator!$B$13,0)+T416+Calculator!$B$14,'Tax Tables'!$B$36)</f>
        <v>20200</v>
      </c>
      <c r="AA416" s="11" t="n">
        <f aca="false">MAX(P416-Z416,0)</f>
        <v>181300</v>
      </c>
      <c r="AB416" s="11" t="n">
        <f aca="false">SUMPRODUCT((AA416&gt;'Tax Tables'!$A$5:$A$17)*(AA416-'Tax Tables'!$A$5:$A$17)*'Tax Tables'!$C$5:$C$17)</f>
        <v>17784</v>
      </c>
      <c r="AC416" s="11" t="n">
        <f aca="false">IF(W416&lt;0,-1E+099,P416-T416-AB416+Y416+(T416+U416)*Calculator!$B$9)</f>
        <v>367032.175</v>
      </c>
    </row>
    <row r="417" customFormat="false" ht="15" hidden="false" customHeight="false" outlineLevel="0" collapsed="false">
      <c r="A417" s="11" t="n">
        <f aca="false">404*$B$3</f>
        <v>202000</v>
      </c>
      <c r="B417" s="11" t="n">
        <f aca="false">0</f>
        <v>0</v>
      </c>
      <c r="C417" s="11" t="n">
        <f aca="false">A417-B417</f>
        <v>202000</v>
      </c>
      <c r="D417" s="11" t="n">
        <f aca="false">IF(Calculator!$B$6="Yes",MIN(B417,'Tax Tables'!$B$31*'Tax Tables'!$B$32),0)</f>
        <v>0</v>
      </c>
      <c r="E417" s="11" t="n">
        <f aca="false">D417*Calculator!$B$7</f>
        <v>0</v>
      </c>
      <c r="F417" s="11" t="n">
        <f aca="false">D417*Calculator!$B$8</f>
        <v>0</v>
      </c>
      <c r="G417" s="11" t="n">
        <f aca="false">IF(B417&gt;0,'Tax Tables'!$B$32*MIN(MAX(B417/'Tax Tables'!$B$32*'Tax Tables'!$B$33,'Tax Tables'!$B$34),'Tax Tables'!$B$35),0)</f>
        <v>0</v>
      </c>
      <c r="H417" s="11" t="n">
        <f aca="false">Calculator!$B$5-A417-F417-G417</f>
        <v>198000</v>
      </c>
      <c r="I417" s="11" t="n">
        <f aca="false">'Tax Tables'!$B$22*(MAX(H417,0)-IF(Calculator!$B$10="Yes",MIN(MAX(H417,0),'Tax Tables'!$B$27)*'Tax Tables'!$B$28+MIN(MAX(MAX(H417,0)-'Tax Tables'!$B$27,0),'Tax Tables'!$B$29)*'Tax Tables'!$B$30,MIN(MAX(H417,0),'Tax Tables'!$B$23)*'Tax Tables'!$B$24+MIN(MAX(MAX(H417,0)-'Tax Tables'!$B$23,0),'Tax Tables'!$B$25)*'Tax Tables'!$B$26))*1-MIN('Tax Tables'!$B$22*(MAX(H417,0)-IF(Calculator!$B$10="Yes",MIN(MAX(H417,0),'Tax Tables'!$B$27)*'Tax Tables'!$B$28+MIN(MAX(MAX(H417,0)-'Tax Tables'!$B$27,0),'Tax Tables'!$B$29)*'Tax Tables'!$B$30,MIN(MAX(H417,0),'Tax Tables'!$B$23)*'Tax Tables'!$B$24+MIN(MAX(MAX(H417,0)-'Tax Tables'!$B$23,0),'Tax Tables'!$B$25)*'Tax Tables'!$B$26))*Calculator!$B$11,Calculator!$B$12)</f>
        <v>16405</v>
      </c>
      <c r="J417" s="11" t="n">
        <f aca="false">MAX(H417,0)-I417</f>
        <v>181595</v>
      </c>
      <c r="K417" s="11" t="n">
        <f aca="false">MIN(IF(A417&gt;0,Calculator!$B$13,0)+E417+Calculator!$B$14,'Tax Tables'!$B$36)</f>
        <v>1000</v>
      </c>
      <c r="L417" s="11" t="n">
        <f aca="false">MAX(A417-K417,0)</f>
        <v>201000</v>
      </c>
      <c r="M417" s="11" t="n">
        <f aca="false">SUMPRODUCT((L417&gt;'Tax Tables'!$A$5:$A$17)*(L417-'Tax Tables'!$A$5:$A$17)*'Tax Tables'!$C$5:$C$17)</f>
        <v>21340</v>
      </c>
      <c r="N417" s="11" t="n">
        <f aca="false">IF(H417&lt;0,-1E+099,A417-E417-M417+J417+(E417+F417)*Calculator!$B$9)</f>
        <v>362255</v>
      </c>
      <c r="O417" s="2"/>
      <c r="P417" s="11" t="n">
        <f aca="false">404*$B$3</f>
        <v>202000</v>
      </c>
      <c r="Q417" s="11" t="n">
        <f aca="false">MIN(P417,'Tax Tables'!$B$31*'Tax Tables'!$B$32)</f>
        <v>96000</v>
      </c>
      <c r="R417" s="11" t="n">
        <f aca="false">P417-Q417</f>
        <v>106000</v>
      </c>
      <c r="S417" s="11" t="n">
        <f aca="false">IF(Calculator!$B$6="Yes",MIN(Q417,'Tax Tables'!$B$31*'Tax Tables'!$B$32),0)</f>
        <v>96000</v>
      </c>
      <c r="T417" s="11" t="n">
        <f aca="false">S417*Calculator!$B$7</f>
        <v>19200</v>
      </c>
      <c r="U417" s="11" t="n">
        <f aca="false">S417*Calculator!$B$8</f>
        <v>16320</v>
      </c>
      <c r="V417" s="11" t="n">
        <f aca="false">IF(Q417&gt;0,'Tax Tables'!$B$32*MIN(MAX(Q417/'Tax Tables'!$B$32*'Tax Tables'!$B$33,'Tax Tables'!$B$34),'Tax Tables'!$B$35),0)</f>
        <v>135</v>
      </c>
      <c r="W417" s="11" t="n">
        <f aca="false">Calculator!$B$5-P417-U417-V417</f>
        <v>181545</v>
      </c>
      <c r="X417" s="11" t="n">
        <f aca="false">'Tax Tables'!$B$22*(MAX(W417,0)-IF(Calculator!$B$10="Yes",MIN(MAX(W417,0),'Tax Tables'!$B$27)*'Tax Tables'!$B$28+MIN(MAX(MAX(W417,0)-'Tax Tables'!$B$27,0),'Tax Tables'!$B$29)*'Tax Tables'!$B$30,MIN(MAX(W417,0),'Tax Tables'!$B$23)*'Tax Tables'!$B$24+MIN(MAX(MAX(W417,0)-'Tax Tables'!$B$23,0),'Tax Tables'!$B$25)*'Tax Tables'!$B$26))*1-MIN('Tax Tables'!$B$22*(MAX(W417,0)-IF(Calculator!$B$10="Yes",MIN(MAX(W417,0),'Tax Tables'!$B$27)*'Tax Tables'!$B$28+MIN(MAX(MAX(W417,0)-'Tax Tables'!$B$27,0),'Tax Tables'!$B$29)*'Tax Tables'!$B$30,MIN(MAX(W417,0),'Tax Tables'!$B$23)*'Tax Tables'!$B$24+MIN(MAX(MAX(W417,0)-'Tax Tables'!$B$23,0),'Tax Tables'!$B$25)*'Tax Tables'!$B$26))*Calculator!$B$11,Calculator!$B$12)</f>
        <v>15006.325</v>
      </c>
      <c r="Y417" s="11" t="n">
        <f aca="false">MAX(W417,0)-X417</f>
        <v>166538.675</v>
      </c>
      <c r="Z417" s="11" t="n">
        <f aca="false">MIN(IF(P417&gt;0,Calculator!$B$13,0)+T417+Calculator!$B$14,'Tax Tables'!$B$36)</f>
        <v>20200</v>
      </c>
      <c r="AA417" s="11" t="n">
        <f aca="false">MAX(P417-Z417,0)</f>
        <v>181800</v>
      </c>
      <c r="AB417" s="11" t="n">
        <f aca="false">SUMPRODUCT((AA417&gt;'Tax Tables'!$A$5:$A$17)*(AA417-'Tax Tables'!$A$5:$A$17)*'Tax Tables'!$C$5:$C$17)</f>
        <v>17874</v>
      </c>
      <c r="AC417" s="11" t="n">
        <f aca="false">IF(W417&lt;0,-1E+099,P417-T417-AB417+Y417+(T417+U417)*Calculator!$B$9)</f>
        <v>366984.675</v>
      </c>
    </row>
    <row r="418" customFormat="false" ht="15" hidden="false" customHeight="false" outlineLevel="0" collapsed="false">
      <c r="A418" s="11" t="n">
        <f aca="false">405*$B$3</f>
        <v>202500</v>
      </c>
      <c r="B418" s="11" t="n">
        <f aca="false">0</f>
        <v>0</v>
      </c>
      <c r="C418" s="11" t="n">
        <f aca="false">A418-B418</f>
        <v>202500</v>
      </c>
      <c r="D418" s="11" t="n">
        <f aca="false">IF(Calculator!$B$6="Yes",MIN(B418,'Tax Tables'!$B$31*'Tax Tables'!$B$32),0)</f>
        <v>0</v>
      </c>
      <c r="E418" s="11" t="n">
        <f aca="false">D418*Calculator!$B$7</f>
        <v>0</v>
      </c>
      <c r="F418" s="11" t="n">
        <f aca="false">D418*Calculator!$B$8</f>
        <v>0</v>
      </c>
      <c r="G418" s="11" t="n">
        <f aca="false">IF(B418&gt;0,'Tax Tables'!$B$32*MIN(MAX(B418/'Tax Tables'!$B$32*'Tax Tables'!$B$33,'Tax Tables'!$B$34),'Tax Tables'!$B$35),0)</f>
        <v>0</v>
      </c>
      <c r="H418" s="11" t="n">
        <f aca="false">Calculator!$B$5-A418-F418-G418</f>
        <v>197500</v>
      </c>
      <c r="I418" s="11" t="n">
        <f aca="false">'Tax Tables'!$B$22*(MAX(H418,0)-IF(Calculator!$B$10="Yes",MIN(MAX(H418,0),'Tax Tables'!$B$27)*'Tax Tables'!$B$28+MIN(MAX(MAX(H418,0)-'Tax Tables'!$B$27,0),'Tax Tables'!$B$29)*'Tax Tables'!$B$30,MIN(MAX(H418,0),'Tax Tables'!$B$23)*'Tax Tables'!$B$24+MIN(MAX(MAX(H418,0)-'Tax Tables'!$B$23,0),'Tax Tables'!$B$25)*'Tax Tables'!$B$26))*1-MIN('Tax Tables'!$B$22*(MAX(H418,0)-IF(Calculator!$B$10="Yes",MIN(MAX(H418,0),'Tax Tables'!$B$27)*'Tax Tables'!$B$28+MIN(MAX(MAX(H418,0)-'Tax Tables'!$B$27,0),'Tax Tables'!$B$29)*'Tax Tables'!$B$30,MIN(MAX(H418,0),'Tax Tables'!$B$23)*'Tax Tables'!$B$24+MIN(MAX(MAX(H418,0)-'Tax Tables'!$B$23,0),'Tax Tables'!$B$25)*'Tax Tables'!$B$26))*Calculator!$B$11,Calculator!$B$12)</f>
        <v>16362.5</v>
      </c>
      <c r="J418" s="11" t="n">
        <f aca="false">MAX(H418,0)-I418</f>
        <v>181137.5</v>
      </c>
      <c r="K418" s="11" t="n">
        <f aca="false">MIN(IF(A418&gt;0,Calculator!$B$13,0)+E418+Calculator!$B$14,'Tax Tables'!$B$36)</f>
        <v>1000</v>
      </c>
      <c r="L418" s="11" t="n">
        <f aca="false">MAX(A418-K418,0)</f>
        <v>201500</v>
      </c>
      <c r="M418" s="11" t="n">
        <f aca="false">SUMPRODUCT((L418&gt;'Tax Tables'!$A$5:$A$17)*(L418-'Tax Tables'!$A$5:$A$17)*'Tax Tables'!$C$5:$C$17)</f>
        <v>21435</v>
      </c>
      <c r="N418" s="11" t="n">
        <f aca="false">IF(H418&lt;0,-1E+099,A418-E418-M418+J418+(E418+F418)*Calculator!$B$9)</f>
        <v>362202.5</v>
      </c>
      <c r="O418" s="2"/>
      <c r="P418" s="11" t="n">
        <f aca="false">405*$B$3</f>
        <v>202500</v>
      </c>
      <c r="Q418" s="11" t="n">
        <f aca="false">MIN(P418,'Tax Tables'!$B$31*'Tax Tables'!$B$32)</f>
        <v>96000</v>
      </c>
      <c r="R418" s="11" t="n">
        <f aca="false">P418-Q418</f>
        <v>106500</v>
      </c>
      <c r="S418" s="11" t="n">
        <f aca="false">IF(Calculator!$B$6="Yes",MIN(Q418,'Tax Tables'!$B$31*'Tax Tables'!$B$32),0)</f>
        <v>96000</v>
      </c>
      <c r="T418" s="11" t="n">
        <f aca="false">S418*Calculator!$B$7</f>
        <v>19200</v>
      </c>
      <c r="U418" s="11" t="n">
        <f aca="false">S418*Calculator!$B$8</f>
        <v>16320</v>
      </c>
      <c r="V418" s="11" t="n">
        <f aca="false">IF(Q418&gt;0,'Tax Tables'!$B$32*MIN(MAX(Q418/'Tax Tables'!$B$32*'Tax Tables'!$B$33,'Tax Tables'!$B$34),'Tax Tables'!$B$35),0)</f>
        <v>135</v>
      </c>
      <c r="W418" s="11" t="n">
        <f aca="false">Calculator!$B$5-P418-U418-V418</f>
        <v>181045</v>
      </c>
      <c r="X418" s="11" t="n">
        <f aca="false">'Tax Tables'!$B$22*(MAX(W418,0)-IF(Calculator!$B$10="Yes",MIN(MAX(W418,0),'Tax Tables'!$B$27)*'Tax Tables'!$B$28+MIN(MAX(MAX(W418,0)-'Tax Tables'!$B$27,0),'Tax Tables'!$B$29)*'Tax Tables'!$B$30,MIN(MAX(W418,0),'Tax Tables'!$B$23)*'Tax Tables'!$B$24+MIN(MAX(MAX(W418,0)-'Tax Tables'!$B$23,0),'Tax Tables'!$B$25)*'Tax Tables'!$B$26))*1-MIN('Tax Tables'!$B$22*(MAX(W418,0)-IF(Calculator!$B$10="Yes",MIN(MAX(W418,0),'Tax Tables'!$B$27)*'Tax Tables'!$B$28+MIN(MAX(MAX(W418,0)-'Tax Tables'!$B$27,0),'Tax Tables'!$B$29)*'Tax Tables'!$B$30,MIN(MAX(W418,0),'Tax Tables'!$B$23)*'Tax Tables'!$B$24+MIN(MAX(MAX(W418,0)-'Tax Tables'!$B$23,0),'Tax Tables'!$B$25)*'Tax Tables'!$B$26))*Calculator!$B$11,Calculator!$B$12)</f>
        <v>14963.825</v>
      </c>
      <c r="Y418" s="11" t="n">
        <f aca="false">MAX(W418,0)-X418</f>
        <v>166081.175</v>
      </c>
      <c r="Z418" s="11" t="n">
        <f aca="false">MIN(IF(P418&gt;0,Calculator!$B$13,0)+T418+Calculator!$B$14,'Tax Tables'!$B$36)</f>
        <v>20200</v>
      </c>
      <c r="AA418" s="11" t="n">
        <f aca="false">MAX(P418-Z418,0)</f>
        <v>182300</v>
      </c>
      <c r="AB418" s="11" t="n">
        <f aca="false">SUMPRODUCT((AA418&gt;'Tax Tables'!$A$5:$A$17)*(AA418-'Tax Tables'!$A$5:$A$17)*'Tax Tables'!$C$5:$C$17)</f>
        <v>17964</v>
      </c>
      <c r="AC418" s="11" t="n">
        <f aca="false">IF(W418&lt;0,-1E+099,P418-T418-AB418+Y418+(T418+U418)*Calculator!$B$9)</f>
        <v>366937.175</v>
      </c>
    </row>
    <row r="419" customFormat="false" ht="15" hidden="false" customHeight="false" outlineLevel="0" collapsed="false">
      <c r="A419" s="11" t="n">
        <f aca="false">406*$B$3</f>
        <v>203000</v>
      </c>
      <c r="B419" s="11" t="n">
        <f aca="false">0</f>
        <v>0</v>
      </c>
      <c r="C419" s="11" t="n">
        <f aca="false">A419-B419</f>
        <v>203000</v>
      </c>
      <c r="D419" s="11" t="n">
        <f aca="false">IF(Calculator!$B$6="Yes",MIN(B419,'Tax Tables'!$B$31*'Tax Tables'!$B$32),0)</f>
        <v>0</v>
      </c>
      <c r="E419" s="11" t="n">
        <f aca="false">D419*Calculator!$B$7</f>
        <v>0</v>
      </c>
      <c r="F419" s="11" t="n">
        <f aca="false">D419*Calculator!$B$8</f>
        <v>0</v>
      </c>
      <c r="G419" s="11" t="n">
        <f aca="false">IF(B419&gt;0,'Tax Tables'!$B$32*MIN(MAX(B419/'Tax Tables'!$B$32*'Tax Tables'!$B$33,'Tax Tables'!$B$34),'Tax Tables'!$B$35),0)</f>
        <v>0</v>
      </c>
      <c r="H419" s="11" t="n">
        <f aca="false">Calculator!$B$5-A419-F419-G419</f>
        <v>197000</v>
      </c>
      <c r="I419" s="11" t="n">
        <f aca="false">'Tax Tables'!$B$22*(MAX(H419,0)-IF(Calculator!$B$10="Yes",MIN(MAX(H419,0),'Tax Tables'!$B$27)*'Tax Tables'!$B$28+MIN(MAX(MAX(H419,0)-'Tax Tables'!$B$27,0),'Tax Tables'!$B$29)*'Tax Tables'!$B$30,MIN(MAX(H419,0),'Tax Tables'!$B$23)*'Tax Tables'!$B$24+MIN(MAX(MAX(H419,0)-'Tax Tables'!$B$23,0),'Tax Tables'!$B$25)*'Tax Tables'!$B$26))*1-MIN('Tax Tables'!$B$22*(MAX(H419,0)-IF(Calculator!$B$10="Yes",MIN(MAX(H419,0),'Tax Tables'!$B$27)*'Tax Tables'!$B$28+MIN(MAX(MAX(H419,0)-'Tax Tables'!$B$27,0),'Tax Tables'!$B$29)*'Tax Tables'!$B$30,MIN(MAX(H419,0),'Tax Tables'!$B$23)*'Tax Tables'!$B$24+MIN(MAX(MAX(H419,0)-'Tax Tables'!$B$23,0),'Tax Tables'!$B$25)*'Tax Tables'!$B$26))*Calculator!$B$11,Calculator!$B$12)</f>
        <v>16320</v>
      </c>
      <c r="J419" s="11" t="n">
        <f aca="false">MAX(H419,0)-I419</f>
        <v>180680</v>
      </c>
      <c r="K419" s="11" t="n">
        <f aca="false">MIN(IF(A419&gt;0,Calculator!$B$13,0)+E419+Calculator!$B$14,'Tax Tables'!$B$36)</f>
        <v>1000</v>
      </c>
      <c r="L419" s="11" t="n">
        <f aca="false">MAX(A419-K419,0)</f>
        <v>202000</v>
      </c>
      <c r="M419" s="11" t="n">
        <f aca="false">SUMPRODUCT((L419&gt;'Tax Tables'!$A$5:$A$17)*(L419-'Tax Tables'!$A$5:$A$17)*'Tax Tables'!$C$5:$C$17)</f>
        <v>21530</v>
      </c>
      <c r="N419" s="11" t="n">
        <f aca="false">IF(H419&lt;0,-1E+099,A419-E419-M419+J419+(E419+F419)*Calculator!$B$9)</f>
        <v>362150</v>
      </c>
      <c r="O419" s="2"/>
      <c r="P419" s="11" t="n">
        <f aca="false">406*$B$3</f>
        <v>203000</v>
      </c>
      <c r="Q419" s="11" t="n">
        <f aca="false">MIN(P419,'Tax Tables'!$B$31*'Tax Tables'!$B$32)</f>
        <v>96000</v>
      </c>
      <c r="R419" s="11" t="n">
        <f aca="false">P419-Q419</f>
        <v>107000</v>
      </c>
      <c r="S419" s="11" t="n">
        <f aca="false">IF(Calculator!$B$6="Yes",MIN(Q419,'Tax Tables'!$B$31*'Tax Tables'!$B$32),0)</f>
        <v>96000</v>
      </c>
      <c r="T419" s="11" t="n">
        <f aca="false">S419*Calculator!$B$7</f>
        <v>19200</v>
      </c>
      <c r="U419" s="11" t="n">
        <f aca="false">S419*Calculator!$B$8</f>
        <v>16320</v>
      </c>
      <c r="V419" s="11" t="n">
        <f aca="false">IF(Q419&gt;0,'Tax Tables'!$B$32*MIN(MAX(Q419/'Tax Tables'!$B$32*'Tax Tables'!$B$33,'Tax Tables'!$B$34),'Tax Tables'!$B$35),0)</f>
        <v>135</v>
      </c>
      <c r="W419" s="11" t="n">
        <f aca="false">Calculator!$B$5-P419-U419-V419</f>
        <v>180545</v>
      </c>
      <c r="X419" s="11" t="n">
        <f aca="false">'Tax Tables'!$B$22*(MAX(W419,0)-IF(Calculator!$B$10="Yes",MIN(MAX(W419,0),'Tax Tables'!$B$27)*'Tax Tables'!$B$28+MIN(MAX(MAX(W419,0)-'Tax Tables'!$B$27,0),'Tax Tables'!$B$29)*'Tax Tables'!$B$30,MIN(MAX(W419,0),'Tax Tables'!$B$23)*'Tax Tables'!$B$24+MIN(MAX(MAX(W419,0)-'Tax Tables'!$B$23,0),'Tax Tables'!$B$25)*'Tax Tables'!$B$26))*1-MIN('Tax Tables'!$B$22*(MAX(W419,0)-IF(Calculator!$B$10="Yes",MIN(MAX(W419,0),'Tax Tables'!$B$27)*'Tax Tables'!$B$28+MIN(MAX(MAX(W419,0)-'Tax Tables'!$B$27,0),'Tax Tables'!$B$29)*'Tax Tables'!$B$30,MIN(MAX(W419,0),'Tax Tables'!$B$23)*'Tax Tables'!$B$24+MIN(MAX(MAX(W419,0)-'Tax Tables'!$B$23,0),'Tax Tables'!$B$25)*'Tax Tables'!$B$26))*Calculator!$B$11,Calculator!$B$12)</f>
        <v>14921.325</v>
      </c>
      <c r="Y419" s="11" t="n">
        <f aca="false">MAX(W419,0)-X419</f>
        <v>165623.675</v>
      </c>
      <c r="Z419" s="11" t="n">
        <f aca="false">MIN(IF(P419&gt;0,Calculator!$B$13,0)+T419+Calculator!$B$14,'Tax Tables'!$B$36)</f>
        <v>20200</v>
      </c>
      <c r="AA419" s="11" t="n">
        <f aca="false">MAX(P419-Z419,0)</f>
        <v>182800</v>
      </c>
      <c r="AB419" s="11" t="n">
        <f aca="false">SUMPRODUCT((AA419&gt;'Tax Tables'!$A$5:$A$17)*(AA419-'Tax Tables'!$A$5:$A$17)*'Tax Tables'!$C$5:$C$17)</f>
        <v>18054</v>
      </c>
      <c r="AC419" s="11" t="n">
        <f aca="false">IF(W419&lt;0,-1E+099,P419-T419-AB419+Y419+(T419+U419)*Calculator!$B$9)</f>
        <v>366889.675</v>
      </c>
    </row>
    <row r="420" customFormat="false" ht="15" hidden="false" customHeight="false" outlineLevel="0" collapsed="false">
      <c r="A420" s="11" t="n">
        <f aca="false">407*$B$3</f>
        <v>203500</v>
      </c>
      <c r="B420" s="11" t="n">
        <f aca="false">0</f>
        <v>0</v>
      </c>
      <c r="C420" s="11" t="n">
        <f aca="false">A420-B420</f>
        <v>203500</v>
      </c>
      <c r="D420" s="11" t="n">
        <f aca="false">IF(Calculator!$B$6="Yes",MIN(B420,'Tax Tables'!$B$31*'Tax Tables'!$B$32),0)</f>
        <v>0</v>
      </c>
      <c r="E420" s="11" t="n">
        <f aca="false">D420*Calculator!$B$7</f>
        <v>0</v>
      </c>
      <c r="F420" s="11" t="n">
        <f aca="false">D420*Calculator!$B$8</f>
        <v>0</v>
      </c>
      <c r="G420" s="11" t="n">
        <f aca="false">IF(B420&gt;0,'Tax Tables'!$B$32*MIN(MAX(B420/'Tax Tables'!$B$32*'Tax Tables'!$B$33,'Tax Tables'!$B$34),'Tax Tables'!$B$35),0)</f>
        <v>0</v>
      </c>
      <c r="H420" s="11" t="n">
        <f aca="false">Calculator!$B$5-A420-F420-G420</f>
        <v>196500</v>
      </c>
      <c r="I420" s="11" t="n">
        <f aca="false">'Tax Tables'!$B$22*(MAX(H420,0)-IF(Calculator!$B$10="Yes",MIN(MAX(H420,0),'Tax Tables'!$B$27)*'Tax Tables'!$B$28+MIN(MAX(MAX(H420,0)-'Tax Tables'!$B$27,0),'Tax Tables'!$B$29)*'Tax Tables'!$B$30,MIN(MAX(H420,0),'Tax Tables'!$B$23)*'Tax Tables'!$B$24+MIN(MAX(MAX(H420,0)-'Tax Tables'!$B$23,0),'Tax Tables'!$B$25)*'Tax Tables'!$B$26))*1-MIN('Tax Tables'!$B$22*(MAX(H420,0)-IF(Calculator!$B$10="Yes",MIN(MAX(H420,0),'Tax Tables'!$B$27)*'Tax Tables'!$B$28+MIN(MAX(MAX(H420,0)-'Tax Tables'!$B$27,0),'Tax Tables'!$B$29)*'Tax Tables'!$B$30,MIN(MAX(H420,0),'Tax Tables'!$B$23)*'Tax Tables'!$B$24+MIN(MAX(MAX(H420,0)-'Tax Tables'!$B$23,0),'Tax Tables'!$B$25)*'Tax Tables'!$B$26))*Calculator!$B$11,Calculator!$B$12)</f>
        <v>16277.5</v>
      </c>
      <c r="J420" s="11" t="n">
        <f aca="false">MAX(H420,0)-I420</f>
        <v>180222.5</v>
      </c>
      <c r="K420" s="11" t="n">
        <f aca="false">MIN(IF(A420&gt;0,Calculator!$B$13,0)+E420+Calculator!$B$14,'Tax Tables'!$B$36)</f>
        <v>1000</v>
      </c>
      <c r="L420" s="11" t="n">
        <f aca="false">MAX(A420-K420,0)</f>
        <v>202500</v>
      </c>
      <c r="M420" s="11" t="n">
        <f aca="false">SUMPRODUCT((L420&gt;'Tax Tables'!$A$5:$A$17)*(L420-'Tax Tables'!$A$5:$A$17)*'Tax Tables'!$C$5:$C$17)</f>
        <v>21625</v>
      </c>
      <c r="N420" s="11" t="n">
        <f aca="false">IF(H420&lt;0,-1E+099,A420-E420-M420+J420+(E420+F420)*Calculator!$B$9)</f>
        <v>362097.5</v>
      </c>
      <c r="O420" s="2"/>
      <c r="P420" s="11" t="n">
        <f aca="false">407*$B$3</f>
        <v>203500</v>
      </c>
      <c r="Q420" s="11" t="n">
        <f aca="false">MIN(P420,'Tax Tables'!$B$31*'Tax Tables'!$B$32)</f>
        <v>96000</v>
      </c>
      <c r="R420" s="11" t="n">
        <f aca="false">P420-Q420</f>
        <v>107500</v>
      </c>
      <c r="S420" s="11" t="n">
        <f aca="false">IF(Calculator!$B$6="Yes",MIN(Q420,'Tax Tables'!$B$31*'Tax Tables'!$B$32),0)</f>
        <v>96000</v>
      </c>
      <c r="T420" s="11" t="n">
        <f aca="false">S420*Calculator!$B$7</f>
        <v>19200</v>
      </c>
      <c r="U420" s="11" t="n">
        <f aca="false">S420*Calculator!$B$8</f>
        <v>16320</v>
      </c>
      <c r="V420" s="11" t="n">
        <f aca="false">IF(Q420&gt;0,'Tax Tables'!$B$32*MIN(MAX(Q420/'Tax Tables'!$B$32*'Tax Tables'!$B$33,'Tax Tables'!$B$34),'Tax Tables'!$B$35),0)</f>
        <v>135</v>
      </c>
      <c r="W420" s="11" t="n">
        <f aca="false">Calculator!$B$5-P420-U420-V420</f>
        <v>180045</v>
      </c>
      <c r="X420" s="11" t="n">
        <f aca="false">'Tax Tables'!$B$22*(MAX(W420,0)-IF(Calculator!$B$10="Yes",MIN(MAX(W420,0),'Tax Tables'!$B$27)*'Tax Tables'!$B$28+MIN(MAX(MAX(W420,0)-'Tax Tables'!$B$27,0),'Tax Tables'!$B$29)*'Tax Tables'!$B$30,MIN(MAX(W420,0),'Tax Tables'!$B$23)*'Tax Tables'!$B$24+MIN(MAX(MAX(W420,0)-'Tax Tables'!$B$23,0),'Tax Tables'!$B$25)*'Tax Tables'!$B$26))*1-MIN('Tax Tables'!$B$22*(MAX(W420,0)-IF(Calculator!$B$10="Yes",MIN(MAX(W420,0),'Tax Tables'!$B$27)*'Tax Tables'!$B$28+MIN(MAX(MAX(W420,0)-'Tax Tables'!$B$27,0),'Tax Tables'!$B$29)*'Tax Tables'!$B$30,MIN(MAX(W420,0),'Tax Tables'!$B$23)*'Tax Tables'!$B$24+MIN(MAX(MAX(W420,0)-'Tax Tables'!$B$23,0),'Tax Tables'!$B$25)*'Tax Tables'!$B$26))*Calculator!$B$11,Calculator!$B$12)</f>
        <v>14878.825</v>
      </c>
      <c r="Y420" s="11" t="n">
        <f aca="false">MAX(W420,0)-X420</f>
        <v>165166.175</v>
      </c>
      <c r="Z420" s="11" t="n">
        <f aca="false">MIN(IF(P420&gt;0,Calculator!$B$13,0)+T420+Calculator!$B$14,'Tax Tables'!$B$36)</f>
        <v>20200</v>
      </c>
      <c r="AA420" s="11" t="n">
        <f aca="false">MAX(P420-Z420,0)</f>
        <v>183300</v>
      </c>
      <c r="AB420" s="11" t="n">
        <f aca="false">SUMPRODUCT((AA420&gt;'Tax Tables'!$A$5:$A$17)*(AA420-'Tax Tables'!$A$5:$A$17)*'Tax Tables'!$C$5:$C$17)</f>
        <v>18144</v>
      </c>
      <c r="AC420" s="11" t="n">
        <f aca="false">IF(W420&lt;0,-1E+099,P420-T420-AB420+Y420+(T420+U420)*Calculator!$B$9)</f>
        <v>366842.175</v>
      </c>
    </row>
    <row r="421" customFormat="false" ht="15" hidden="false" customHeight="false" outlineLevel="0" collapsed="false">
      <c r="A421" s="11" t="n">
        <f aca="false">408*$B$3</f>
        <v>204000</v>
      </c>
      <c r="B421" s="11" t="n">
        <f aca="false">0</f>
        <v>0</v>
      </c>
      <c r="C421" s="11" t="n">
        <f aca="false">A421-B421</f>
        <v>204000</v>
      </c>
      <c r="D421" s="11" t="n">
        <f aca="false">IF(Calculator!$B$6="Yes",MIN(B421,'Tax Tables'!$B$31*'Tax Tables'!$B$32),0)</f>
        <v>0</v>
      </c>
      <c r="E421" s="11" t="n">
        <f aca="false">D421*Calculator!$B$7</f>
        <v>0</v>
      </c>
      <c r="F421" s="11" t="n">
        <f aca="false">D421*Calculator!$B$8</f>
        <v>0</v>
      </c>
      <c r="G421" s="11" t="n">
        <f aca="false">IF(B421&gt;0,'Tax Tables'!$B$32*MIN(MAX(B421/'Tax Tables'!$B$32*'Tax Tables'!$B$33,'Tax Tables'!$B$34),'Tax Tables'!$B$35),0)</f>
        <v>0</v>
      </c>
      <c r="H421" s="11" t="n">
        <f aca="false">Calculator!$B$5-A421-F421-G421</f>
        <v>196000</v>
      </c>
      <c r="I421" s="11" t="n">
        <f aca="false">'Tax Tables'!$B$22*(MAX(H421,0)-IF(Calculator!$B$10="Yes",MIN(MAX(H421,0),'Tax Tables'!$B$27)*'Tax Tables'!$B$28+MIN(MAX(MAX(H421,0)-'Tax Tables'!$B$27,0),'Tax Tables'!$B$29)*'Tax Tables'!$B$30,MIN(MAX(H421,0),'Tax Tables'!$B$23)*'Tax Tables'!$B$24+MIN(MAX(MAX(H421,0)-'Tax Tables'!$B$23,0),'Tax Tables'!$B$25)*'Tax Tables'!$B$26))*1-MIN('Tax Tables'!$B$22*(MAX(H421,0)-IF(Calculator!$B$10="Yes",MIN(MAX(H421,0),'Tax Tables'!$B$27)*'Tax Tables'!$B$28+MIN(MAX(MAX(H421,0)-'Tax Tables'!$B$27,0),'Tax Tables'!$B$29)*'Tax Tables'!$B$30,MIN(MAX(H421,0),'Tax Tables'!$B$23)*'Tax Tables'!$B$24+MIN(MAX(MAX(H421,0)-'Tax Tables'!$B$23,0),'Tax Tables'!$B$25)*'Tax Tables'!$B$26))*Calculator!$B$11,Calculator!$B$12)</f>
        <v>16235</v>
      </c>
      <c r="J421" s="11" t="n">
        <f aca="false">MAX(H421,0)-I421</f>
        <v>179765</v>
      </c>
      <c r="K421" s="11" t="n">
        <f aca="false">MIN(IF(A421&gt;0,Calculator!$B$13,0)+E421+Calculator!$B$14,'Tax Tables'!$B$36)</f>
        <v>1000</v>
      </c>
      <c r="L421" s="11" t="n">
        <f aca="false">MAX(A421-K421,0)</f>
        <v>203000</v>
      </c>
      <c r="M421" s="11" t="n">
        <f aca="false">SUMPRODUCT((L421&gt;'Tax Tables'!$A$5:$A$17)*(L421-'Tax Tables'!$A$5:$A$17)*'Tax Tables'!$C$5:$C$17)</f>
        <v>21720</v>
      </c>
      <c r="N421" s="11" t="n">
        <f aca="false">IF(H421&lt;0,-1E+099,A421-E421-M421+J421+(E421+F421)*Calculator!$B$9)</f>
        <v>362045</v>
      </c>
      <c r="O421" s="2"/>
      <c r="P421" s="11" t="n">
        <f aca="false">408*$B$3</f>
        <v>204000</v>
      </c>
      <c r="Q421" s="11" t="n">
        <f aca="false">MIN(P421,'Tax Tables'!$B$31*'Tax Tables'!$B$32)</f>
        <v>96000</v>
      </c>
      <c r="R421" s="11" t="n">
        <f aca="false">P421-Q421</f>
        <v>108000</v>
      </c>
      <c r="S421" s="11" t="n">
        <f aca="false">IF(Calculator!$B$6="Yes",MIN(Q421,'Tax Tables'!$B$31*'Tax Tables'!$B$32),0)</f>
        <v>96000</v>
      </c>
      <c r="T421" s="11" t="n">
        <f aca="false">S421*Calculator!$B$7</f>
        <v>19200</v>
      </c>
      <c r="U421" s="11" t="n">
        <f aca="false">S421*Calculator!$B$8</f>
        <v>16320</v>
      </c>
      <c r="V421" s="11" t="n">
        <f aca="false">IF(Q421&gt;0,'Tax Tables'!$B$32*MIN(MAX(Q421/'Tax Tables'!$B$32*'Tax Tables'!$B$33,'Tax Tables'!$B$34),'Tax Tables'!$B$35),0)</f>
        <v>135</v>
      </c>
      <c r="W421" s="11" t="n">
        <f aca="false">Calculator!$B$5-P421-U421-V421</f>
        <v>179545</v>
      </c>
      <c r="X421" s="11" t="n">
        <f aca="false">'Tax Tables'!$B$22*(MAX(W421,0)-IF(Calculator!$B$10="Yes",MIN(MAX(W421,0),'Tax Tables'!$B$27)*'Tax Tables'!$B$28+MIN(MAX(MAX(W421,0)-'Tax Tables'!$B$27,0),'Tax Tables'!$B$29)*'Tax Tables'!$B$30,MIN(MAX(W421,0),'Tax Tables'!$B$23)*'Tax Tables'!$B$24+MIN(MAX(MAX(W421,0)-'Tax Tables'!$B$23,0),'Tax Tables'!$B$25)*'Tax Tables'!$B$26))*1-MIN('Tax Tables'!$B$22*(MAX(W421,0)-IF(Calculator!$B$10="Yes",MIN(MAX(W421,0),'Tax Tables'!$B$27)*'Tax Tables'!$B$28+MIN(MAX(MAX(W421,0)-'Tax Tables'!$B$27,0),'Tax Tables'!$B$29)*'Tax Tables'!$B$30,MIN(MAX(W421,0),'Tax Tables'!$B$23)*'Tax Tables'!$B$24+MIN(MAX(MAX(W421,0)-'Tax Tables'!$B$23,0),'Tax Tables'!$B$25)*'Tax Tables'!$B$26))*Calculator!$B$11,Calculator!$B$12)</f>
        <v>14836.325</v>
      </c>
      <c r="Y421" s="11" t="n">
        <f aca="false">MAX(W421,0)-X421</f>
        <v>164708.675</v>
      </c>
      <c r="Z421" s="11" t="n">
        <f aca="false">MIN(IF(P421&gt;0,Calculator!$B$13,0)+T421+Calculator!$B$14,'Tax Tables'!$B$36)</f>
        <v>20200</v>
      </c>
      <c r="AA421" s="11" t="n">
        <f aca="false">MAX(P421-Z421,0)</f>
        <v>183800</v>
      </c>
      <c r="AB421" s="11" t="n">
        <f aca="false">SUMPRODUCT((AA421&gt;'Tax Tables'!$A$5:$A$17)*(AA421-'Tax Tables'!$A$5:$A$17)*'Tax Tables'!$C$5:$C$17)</f>
        <v>18234</v>
      </c>
      <c r="AC421" s="11" t="n">
        <f aca="false">IF(W421&lt;0,-1E+099,P421-T421-AB421+Y421+(T421+U421)*Calculator!$B$9)</f>
        <v>366794.675</v>
      </c>
    </row>
    <row r="422" customFormat="false" ht="15" hidden="false" customHeight="false" outlineLevel="0" collapsed="false">
      <c r="A422" s="11" t="n">
        <f aca="false">409*$B$3</f>
        <v>204500</v>
      </c>
      <c r="B422" s="11" t="n">
        <f aca="false">0</f>
        <v>0</v>
      </c>
      <c r="C422" s="11" t="n">
        <f aca="false">A422-B422</f>
        <v>204500</v>
      </c>
      <c r="D422" s="11" t="n">
        <f aca="false">IF(Calculator!$B$6="Yes",MIN(B422,'Tax Tables'!$B$31*'Tax Tables'!$B$32),0)</f>
        <v>0</v>
      </c>
      <c r="E422" s="11" t="n">
        <f aca="false">D422*Calculator!$B$7</f>
        <v>0</v>
      </c>
      <c r="F422" s="11" t="n">
        <f aca="false">D422*Calculator!$B$8</f>
        <v>0</v>
      </c>
      <c r="G422" s="11" t="n">
        <f aca="false">IF(B422&gt;0,'Tax Tables'!$B$32*MIN(MAX(B422/'Tax Tables'!$B$32*'Tax Tables'!$B$33,'Tax Tables'!$B$34),'Tax Tables'!$B$35),0)</f>
        <v>0</v>
      </c>
      <c r="H422" s="11" t="n">
        <f aca="false">Calculator!$B$5-A422-F422-G422</f>
        <v>195500</v>
      </c>
      <c r="I422" s="11" t="n">
        <f aca="false">'Tax Tables'!$B$22*(MAX(H422,0)-IF(Calculator!$B$10="Yes",MIN(MAX(H422,0),'Tax Tables'!$B$27)*'Tax Tables'!$B$28+MIN(MAX(MAX(H422,0)-'Tax Tables'!$B$27,0),'Tax Tables'!$B$29)*'Tax Tables'!$B$30,MIN(MAX(H422,0),'Tax Tables'!$B$23)*'Tax Tables'!$B$24+MIN(MAX(MAX(H422,0)-'Tax Tables'!$B$23,0),'Tax Tables'!$B$25)*'Tax Tables'!$B$26))*1-MIN('Tax Tables'!$B$22*(MAX(H422,0)-IF(Calculator!$B$10="Yes",MIN(MAX(H422,0),'Tax Tables'!$B$27)*'Tax Tables'!$B$28+MIN(MAX(MAX(H422,0)-'Tax Tables'!$B$27,0),'Tax Tables'!$B$29)*'Tax Tables'!$B$30,MIN(MAX(H422,0),'Tax Tables'!$B$23)*'Tax Tables'!$B$24+MIN(MAX(MAX(H422,0)-'Tax Tables'!$B$23,0),'Tax Tables'!$B$25)*'Tax Tables'!$B$26))*Calculator!$B$11,Calculator!$B$12)</f>
        <v>16192.5</v>
      </c>
      <c r="J422" s="11" t="n">
        <f aca="false">MAX(H422,0)-I422</f>
        <v>179307.5</v>
      </c>
      <c r="K422" s="11" t="n">
        <f aca="false">MIN(IF(A422&gt;0,Calculator!$B$13,0)+E422+Calculator!$B$14,'Tax Tables'!$B$36)</f>
        <v>1000</v>
      </c>
      <c r="L422" s="11" t="n">
        <f aca="false">MAX(A422-K422,0)</f>
        <v>203500</v>
      </c>
      <c r="M422" s="11" t="n">
        <f aca="false">SUMPRODUCT((L422&gt;'Tax Tables'!$A$5:$A$17)*(L422-'Tax Tables'!$A$5:$A$17)*'Tax Tables'!$C$5:$C$17)</f>
        <v>21815</v>
      </c>
      <c r="N422" s="11" t="n">
        <f aca="false">IF(H422&lt;0,-1E+099,A422-E422-M422+J422+(E422+F422)*Calculator!$B$9)</f>
        <v>361992.5</v>
      </c>
      <c r="O422" s="2"/>
      <c r="P422" s="11" t="n">
        <f aca="false">409*$B$3</f>
        <v>204500</v>
      </c>
      <c r="Q422" s="11" t="n">
        <f aca="false">MIN(P422,'Tax Tables'!$B$31*'Tax Tables'!$B$32)</f>
        <v>96000</v>
      </c>
      <c r="R422" s="11" t="n">
        <f aca="false">P422-Q422</f>
        <v>108500</v>
      </c>
      <c r="S422" s="11" t="n">
        <f aca="false">IF(Calculator!$B$6="Yes",MIN(Q422,'Tax Tables'!$B$31*'Tax Tables'!$B$32),0)</f>
        <v>96000</v>
      </c>
      <c r="T422" s="11" t="n">
        <f aca="false">S422*Calculator!$B$7</f>
        <v>19200</v>
      </c>
      <c r="U422" s="11" t="n">
        <f aca="false">S422*Calculator!$B$8</f>
        <v>16320</v>
      </c>
      <c r="V422" s="11" t="n">
        <f aca="false">IF(Q422&gt;0,'Tax Tables'!$B$32*MIN(MAX(Q422/'Tax Tables'!$B$32*'Tax Tables'!$B$33,'Tax Tables'!$B$34),'Tax Tables'!$B$35),0)</f>
        <v>135</v>
      </c>
      <c r="W422" s="11" t="n">
        <f aca="false">Calculator!$B$5-P422-U422-V422</f>
        <v>179045</v>
      </c>
      <c r="X422" s="11" t="n">
        <f aca="false">'Tax Tables'!$B$22*(MAX(W422,0)-IF(Calculator!$B$10="Yes",MIN(MAX(W422,0),'Tax Tables'!$B$27)*'Tax Tables'!$B$28+MIN(MAX(MAX(W422,0)-'Tax Tables'!$B$27,0),'Tax Tables'!$B$29)*'Tax Tables'!$B$30,MIN(MAX(W422,0),'Tax Tables'!$B$23)*'Tax Tables'!$B$24+MIN(MAX(MAX(W422,0)-'Tax Tables'!$B$23,0),'Tax Tables'!$B$25)*'Tax Tables'!$B$26))*1-MIN('Tax Tables'!$B$22*(MAX(W422,0)-IF(Calculator!$B$10="Yes",MIN(MAX(W422,0),'Tax Tables'!$B$27)*'Tax Tables'!$B$28+MIN(MAX(MAX(W422,0)-'Tax Tables'!$B$27,0),'Tax Tables'!$B$29)*'Tax Tables'!$B$30,MIN(MAX(W422,0),'Tax Tables'!$B$23)*'Tax Tables'!$B$24+MIN(MAX(MAX(W422,0)-'Tax Tables'!$B$23,0),'Tax Tables'!$B$25)*'Tax Tables'!$B$26))*Calculator!$B$11,Calculator!$B$12)</f>
        <v>14793.825</v>
      </c>
      <c r="Y422" s="11" t="n">
        <f aca="false">MAX(W422,0)-X422</f>
        <v>164251.175</v>
      </c>
      <c r="Z422" s="11" t="n">
        <f aca="false">MIN(IF(P422&gt;0,Calculator!$B$13,0)+T422+Calculator!$B$14,'Tax Tables'!$B$36)</f>
        <v>20200</v>
      </c>
      <c r="AA422" s="11" t="n">
        <f aca="false">MAX(P422-Z422,0)</f>
        <v>184300</v>
      </c>
      <c r="AB422" s="11" t="n">
        <f aca="false">SUMPRODUCT((AA422&gt;'Tax Tables'!$A$5:$A$17)*(AA422-'Tax Tables'!$A$5:$A$17)*'Tax Tables'!$C$5:$C$17)</f>
        <v>18324</v>
      </c>
      <c r="AC422" s="11" t="n">
        <f aca="false">IF(W422&lt;0,-1E+099,P422-T422-AB422+Y422+(T422+U422)*Calculator!$B$9)</f>
        <v>366747.175</v>
      </c>
    </row>
    <row r="423" customFormat="false" ht="15" hidden="false" customHeight="false" outlineLevel="0" collapsed="false">
      <c r="A423" s="11" t="n">
        <f aca="false">410*$B$3</f>
        <v>205000</v>
      </c>
      <c r="B423" s="11" t="n">
        <f aca="false">0</f>
        <v>0</v>
      </c>
      <c r="C423" s="11" t="n">
        <f aca="false">A423-B423</f>
        <v>205000</v>
      </c>
      <c r="D423" s="11" t="n">
        <f aca="false">IF(Calculator!$B$6="Yes",MIN(B423,'Tax Tables'!$B$31*'Tax Tables'!$B$32),0)</f>
        <v>0</v>
      </c>
      <c r="E423" s="11" t="n">
        <f aca="false">D423*Calculator!$B$7</f>
        <v>0</v>
      </c>
      <c r="F423" s="11" t="n">
        <f aca="false">D423*Calculator!$B$8</f>
        <v>0</v>
      </c>
      <c r="G423" s="11" t="n">
        <f aca="false">IF(B423&gt;0,'Tax Tables'!$B$32*MIN(MAX(B423/'Tax Tables'!$B$32*'Tax Tables'!$B$33,'Tax Tables'!$B$34),'Tax Tables'!$B$35),0)</f>
        <v>0</v>
      </c>
      <c r="H423" s="11" t="n">
        <f aca="false">Calculator!$B$5-A423-F423-G423</f>
        <v>195000</v>
      </c>
      <c r="I423" s="11" t="n">
        <f aca="false">'Tax Tables'!$B$22*(MAX(H423,0)-IF(Calculator!$B$10="Yes",MIN(MAX(H423,0),'Tax Tables'!$B$27)*'Tax Tables'!$B$28+MIN(MAX(MAX(H423,0)-'Tax Tables'!$B$27,0),'Tax Tables'!$B$29)*'Tax Tables'!$B$30,MIN(MAX(H423,0),'Tax Tables'!$B$23)*'Tax Tables'!$B$24+MIN(MAX(MAX(H423,0)-'Tax Tables'!$B$23,0),'Tax Tables'!$B$25)*'Tax Tables'!$B$26))*1-MIN('Tax Tables'!$B$22*(MAX(H423,0)-IF(Calculator!$B$10="Yes",MIN(MAX(H423,0),'Tax Tables'!$B$27)*'Tax Tables'!$B$28+MIN(MAX(MAX(H423,0)-'Tax Tables'!$B$27,0),'Tax Tables'!$B$29)*'Tax Tables'!$B$30,MIN(MAX(H423,0),'Tax Tables'!$B$23)*'Tax Tables'!$B$24+MIN(MAX(MAX(H423,0)-'Tax Tables'!$B$23,0),'Tax Tables'!$B$25)*'Tax Tables'!$B$26))*Calculator!$B$11,Calculator!$B$12)</f>
        <v>16150</v>
      </c>
      <c r="J423" s="11" t="n">
        <f aca="false">MAX(H423,0)-I423</f>
        <v>178850</v>
      </c>
      <c r="K423" s="11" t="n">
        <f aca="false">MIN(IF(A423&gt;0,Calculator!$B$13,0)+E423+Calculator!$B$14,'Tax Tables'!$B$36)</f>
        <v>1000</v>
      </c>
      <c r="L423" s="11" t="n">
        <f aca="false">MAX(A423-K423,0)</f>
        <v>204000</v>
      </c>
      <c r="M423" s="11" t="n">
        <f aca="false">SUMPRODUCT((L423&gt;'Tax Tables'!$A$5:$A$17)*(L423-'Tax Tables'!$A$5:$A$17)*'Tax Tables'!$C$5:$C$17)</f>
        <v>21910</v>
      </c>
      <c r="N423" s="11" t="n">
        <f aca="false">IF(H423&lt;0,-1E+099,A423-E423-M423+J423+(E423+F423)*Calculator!$B$9)</f>
        <v>361940</v>
      </c>
      <c r="O423" s="2"/>
      <c r="P423" s="11" t="n">
        <f aca="false">410*$B$3</f>
        <v>205000</v>
      </c>
      <c r="Q423" s="11" t="n">
        <f aca="false">MIN(P423,'Tax Tables'!$B$31*'Tax Tables'!$B$32)</f>
        <v>96000</v>
      </c>
      <c r="R423" s="11" t="n">
        <f aca="false">P423-Q423</f>
        <v>109000</v>
      </c>
      <c r="S423" s="11" t="n">
        <f aca="false">IF(Calculator!$B$6="Yes",MIN(Q423,'Tax Tables'!$B$31*'Tax Tables'!$B$32),0)</f>
        <v>96000</v>
      </c>
      <c r="T423" s="11" t="n">
        <f aca="false">S423*Calculator!$B$7</f>
        <v>19200</v>
      </c>
      <c r="U423" s="11" t="n">
        <f aca="false">S423*Calculator!$B$8</f>
        <v>16320</v>
      </c>
      <c r="V423" s="11" t="n">
        <f aca="false">IF(Q423&gt;0,'Tax Tables'!$B$32*MIN(MAX(Q423/'Tax Tables'!$B$32*'Tax Tables'!$B$33,'Tax Tables'!$B$34),'Tax Tables'!$B$35),0)</f>
        <v>135</v>
      </c>
      <c r="W423" s="11" t="n">
        <f aca="false">Calculator!$B$5-P423-U423-V423</f>
        <v>178545</v>
      </c>
      <c r="X423" s="11" t="n">
        <f aca="false">'Tax Tables'!$B$22*(MAX(W423,0)-IF(Calculator!$B$10="Yes",MIN(MAX(W423,0),'Tax Tables'!$B$27)*'Tax Tables'!$B$28+MIN(MAX(MAX(W423,0)-'Tax Tables'!$B$27,0),'Tax Tables'!$B$29)*'Tax Tables'!$B$30,MIN(MAX(W423,0),'Tax Tables'!$B$23)*'Tax Tables'!$B$24+MIN(MAX(MAX(W423,0)-'Tax Tables'!$B$23,0),'Tax Tables'!$B$25)*'Tax Tables'!$B$26))*1-MIN('Tax Tables'!$B$22*(MAX(W423,0)-IF(Calculator!$B$10="Yes",MIN(MAX(W423,0),'Tax Tables'!$B$27)*'Tax Tables'!$B$28+MIN(MAX(MAX(W423,0)-'Tax Tables'!$B$27,0),'Tax Tables'!$B$29)*'Tax Tables'!$B$30,MIN(MAX(W423,0),'Tax Tables'!$B$23)*'Tax Tables'!$B$24+MIN(MAX(MAX(W423,0)-'Tax Tables'!$B$23,0),'Tax Tables'!$B$25)*'Tax Tables'!$B$26))*Calculator!$B$11,Calculator!$B$12)</f>
        <v>14751.325</v>
      </c>
      <c r="Y423" s="11" t="n">
        <f aca="false">MAX(W423,0)-X423</f>
        <v>163793.675</v>
      </c>
      <c r="Z423" s="11" t="n">
        <f aca="false">MIN(IF(P423&gt;0,Calculator!$B$13,0)+T423+Calculator!$B$14,'Tax Tables'!$B$36)</f>
        <v>20200</v>
      </c>
      <c r="AA423" s="11" t="n">
        <f aca="false">MAX(P423-Z423,0)</f>
        <v>184800</v>
      </c>
      <c r="AB423" s="11" t="n">
        <f aca="false">SUMPRODUCT((AA423&gt;'Tax Tables'!$A$5:$A$17)*(AA423-'Tax Tables'!$A$5:$A$17)*'Tax Tables'!$C$5:$C$17)</f>
        <v>18414</v>
      </c>
      <c r="AC423" s="11" t="n">
        <f aca="false">IF(W423&lt;0,-1E+099,P423-T423-AB423+Y423+(T423+U423)*Calculator!$B$9)</f>
        <v>366699.675</v>
      </c>
    </row>
    <row r="424" customFormat="false" ht="15" hidden="false" customHeight="false" outlineLevel="0" collapsed="false">
      <c r="A424" s="11" t="n">
        <f aca="false">411*$B$3</f>
        <v>205500</v>
      </c>
      <c r="B424" s="11" t="n">
        <f aca="false">0</f>
        <v>0</v>
      </c>
      <c r="C424" s="11" t="n">
        <f aca="false">A424-B424</f>
        <v>205500</v>
      </c>
      <c r="D424" s="11" t="n">
        <f aca="false">IF(Calculator!$B$6="Yes",MIN(B424,'Tax Tables'!$B$31*'Tax Tables'!$B$32),0)</f>
        <v>0</v>
      </c>
      <c r="E424" s="11" t="n">
        <f aca="false">D424*Calculator!$B$7</f>
        <v>0</v>
      </c>
      <c r="F424" s="11" t="n">
        <f aca="false">D424*Calculator!$B$8</f>
        <v>0</v>
      </c>
      <c r="G424" s="11" t="n">
        <f aca="false">IF(B424&gt;0,'Tax Tables'!$B$32*MIN(MAX(B424/'Tax Tables'!$B$32*'Tax Tables'!$B$33,'Tax Tables'!$B$34),'Tax Tables'!$B$35),0)</f>
        <v>0</v>
      </c>
      <c r="H424" s="11" t="n">
        <f aca="false">Calculator!$B$5-A424-F424-G424</f>
        <v>194500</v>
      </c>
      <c r="I424" s="11" t="n">
        <f aca="false">'Tax Tables'!$B$22*(MAX(H424,0)-IF(Calculator!$B$10="Yes",MIN(MAX(H424,0),'Tax Tables'!$B$27)*'Tax Tables'!$B$28+MIN(MAX(MAX(H424,0)-'Tax Tables'!$B$27,0),'Tax Tables'!$B$29)*'Tax Tables'!$B$30,MIN(MAX(H424,0),'Tax Tables'!$B$23)*'Tax Tables'!$B$24+MIN(MAX(MAX(H424,0)-'Tax Tables'!$B$23,0),'Tax Tables'!$B$25)*'Tax Tables'!$B$26))*1-MIN('Tax Tables'!$B$22*(MAX(H424,0)-IF(Calculator!$B$10="Yes",MIN(MAX(H424,0),'Tax Tables'!$B$27)*'Tax Tables'!$B$28+MIN(MAX(MAX(H424,0)-'Tax Tables'!$B$27,0),'Tax Tables'!$B$29)*'Tax Tables'!$B$30,MIN(MAX(H424,0),'Tax Tables'!$B$23)*'Tax Tables'!$B$24+MIN(MAX(MAX(H424,0)-'Tax Tables'!$B$23,0),'Tax Tables'!$B$25)*'Tax Tables'!$B$26))*Calculator!$B$11,Calculator!$B$12)</f>
        <v>16107.5</v>
      </c>
      <c r="J424" s="11" t="n">
        <f aca="false">MAX(H424,0)-I424</f>
        <v>178392.5</v>
      </c>
      <c r="K424" s="11" t="n">
        <f aca="false">MIN(IF(A424&gt;0,Calculator!$B$13,0)+E424+Calculator!$B$14,'Tax Tables'!$B$36)</f>
        <v>1000</v>
      </c>
      <c r="L424" s="11" t="n">
        <f aca="false">MAX(A424-K424,0)</f>
        <v>204500</v>
      </c>
      <c r="M424" s="11" t="n">
        <f aca="false">SUMPRODUCT((L424&gt;'Tax Tables'!$A$5:$A$17)*(L424-'Tax Tables'!$A$5:$A$17)*'Tax Tables'!$C$5:$C$17)</f>
        <v>22005</v>
      </c>
      <c r="N424" s="11" t="n">
        <f aca="false">IF(H424&lt;0,-1E+099,A424-E424-M424+J424+(E424+F424)*Calculator!$B$9)</f>
        <v>361887.5</v>
      </c>
      <c r="O424" s="2"/>
      <c r="P424" s="11" t="n">
        <f aca="false">411*$B$3</f>
        <v>205500</v>
      </c>
      <c r="Q424" s="11" t="n">
        <f aca="false">MIN(P424,'Tax Tables'!$B$31*'Tax Tables'!$B$32)</f>
        <v>96000</v>
      </c>
      <c r="R424" s="11" t="n">
        <f aca="false">P424-Q424</f>
        <v>109500</v>
      </c>
      <c r="S424" s="11" t="n">
        <f aca="false">IF(Calculator!$B$6="Yes",MIN(Q424,'Tax Tables'!$B$31*'Tax Tables'!$B$32),0)</f>
        <v>96000</v>
      </c>
      <c r="T424" s="11" t="n">
        <f aca="false">S424*Calculator!$B$7</f>
        <v>19200</v>
      </c>
      <c r="U424" s="11" t="n">
        <f aca="false">S424*Calculator!$B$8</f>
        <v>16320</v>
      </c>
      <c r="V424" s="11" t="n">
        <f aca="false">IF(Q424&gt;0,'Tax Tables'!$B$32*MIN(MAX(Q424/'Tax Tables'!$B$32*'Tax Tables'!$B$33,'Tax Tables'!$B$34),'Tax Tables'!$B$35),0)</f>
        <v>135</v>
      </c>
      <c r="W424" s="11" t="n">
        <f aca="false">Calculator!$B$5-P424-U424-V424</f>
        <v>178045</v>
      </c>
      <c r="X424" s="11" t="n">
        <f aca="false">'Tax Tables'!$B$22*(MAX(W424,0)-IF(Calculator!$B$10="Yes",MIN(MAX(W424,0),'Tax Tables'!$B$27)*'Tax Tables'!$B$28+MIN(MAX(MAX(W424,0)-'Tax Tables'!$B$27,0),'Tax Tables'!$B$29)*'Tax Tables'!$B$30,MIN(MAX(W424,0),'Tax Tables'!$B$23)*'Tax Tables'!$B$24+MIN(MAX(MAX(W424,0)-'Tax Tables'!$B$23,0),'Tax Tables'!$B$25)*'Tax Tables'!$B$26))*1-MIN('Tax Tables'!$B$22*(MAX(W424,0)-IF(Calculator!$B$10="Yes",MIN(MAX(W424,0),'Tax Tables'!$B$27)*'Tax Tables'!$B$28+MIN(MAX(MAX(W424,0)-'Tax Tables'!$B$27,0),'Tax Tables'!$B$29)*'Tax Tables'!$B$30,MIN(MAX(W424,0),'Tax Tables'!$B$23)*'Tax Tables'!$B$24+MIN(MAX(MAX(W424,0)-'Tax Tables'!$B$23,0),'Tax Tables'!$B$25)*'Tax Tables'!$B$26))*Calculator!$B$11,Calculator!$B$12)</f>
        <v>14708.825</v>
      </c>
      <c r="Y424" s="11" t="n">
        <f aca="false">MAX(W424,0)-X424</f>
        <v>163336.175</v>
      </c>
      <c r="Z424" s="11" t="n">
        <f aca="false">MIN(IF(P424&gt;0,Calculator!$B$13,0)+T424+Calculator!$B$14,'Tax Tables'!$B$36)</f>
        <v>20200</v>
      </c>
      <c r="AA424" s="11" t="n">
        <f aca="false">MAX(P424-Z424,0)</f>
        <v>185300</v>
      </c>
      <c r="AB424" s="11" t="n">
        <f aca="false">SUMPRODUCT((AA424&gt;'Tax Tables'!$A$5:$A$17)*(AA424-'Tax Tables'!$A$5:$A$17)*'Tax Tables'!$C$5:$C$17)</f>
        <v>18504</v>
      </c>
      <c r="AC424" s="11" t="n">
        <f aca="false">IF(W424&lt;0,-1E+099,P424-T424-AB424+Y424+(T424+U424)*Calculator!$B$9)</f>
        <v>366652.175</v>
      </c>
    </row>
    <row r="425" customFormat="false" ht="15" hidden="false" customHeight="false" outlineLevel="0" collapsed="false">
      <c r="A425" s="11" t="n">
        <f aca="false">412*$B$3</f>
        <v>206000</v>
      </c>
      <c r="B425" s="11" t="n">
        <f aca="false">0</f>
        <v>0</v>
      </c>
      <c r="C425" s="11" t="n">
        <f aca="false">A425-B425</f>
        <v>206000</v>
      </c>
      <c r="D425" s="11" t="n">
        <f aca="false">IF(Calculator!$B$6="Yes",MIN(B425,'Tax Tables'!$B$31*'Tax Tables'!$B$32),0)</f>
        <v>0</v>
      </c>
      <c r="E425" s="11" t="n">
        <f aca="false">D425*Calculator!$B$7</f>
        <v>0</v>
      </c>
      <c r="F425" s="11" t="n">
        <f aca="false">D425*Calculator!$B$8</f>
        <v>0</v>
      </c>
      <c r="G425" s="11" t="n">
        <f aca="false">IF(B425&gt;0,'Tax Tables'!$B$32*MIN(MAX(B425/'Tax Tables'!$B$32*'Tax Tables'!$B$33,'Tax Tables'!$B$34),'Tax Tables'!$B$35),0)</f>
        <v>0</v>
      </c>
      <c r="H425" s="11" t="n">
        <f aca="false">Calculator!$B$5-A425-F425-G425</f>
        <v>194000</v>
      </c>
      <c r="I425" s="11" t="n">
        <f aca="false">'Tax Tables'!$B$22*(MAX(H425,0)-IF(Calculator!$B$10="Yes",MIN(MAX(H425,0),'Tax Tables'!$B$27)*'Tax Tables'!$B$28+MIN(MAX(MAX(H425,0)-'Tax Tables'!$B$27,0),'Tax Tables'!$B$29)*'Tax Tables'!$B$30,MIN(MAX(H425,0),'Tax Tables'!$B$23)*'Tax Tables'!$B$24+MIN(MAX(MAX(H425,0)-'Tax Tables'!$B$23,0),'Tax Tables'!$B$25)*'Tax Tables'!$B$26))*1-MIN('Tax Tables'!$B$22*(MAX(H425,0)-IF(Calculator!$B$10="Yes",MIN(MAX(H425,0),'Tax Tables'!$B$27)*'Tax Tables'!$B$28+MIN(MAX(MAX(H425,0)-'Tax Tables'!$B$27,0),'Tax Tables'!$B$29)*'Tax Tables'!$B$30,MIN(MAX(H425,0),'Tax Tables'!$B$23)*'Tax Tables'!$B$24+MIN(MAX(MAX(H425,0)-'Tax Tables'!$B$23,0),'Tax Tables'!$B$25)*'Tax Tables'!$B$26))*Calculator!$B$11,Calculator!$B$12)</f>
        <v>16065</v>
      </c>
      <c r="J425" s="11" t="n">
        <f aca="false">MAX(H425,0)-I425</f>
        <v>177935</v>
      </c>
      <c r="K425" s="11" t="n">
        <f aca="false">MIN(IF(A425&gt;0,Calculator!$B$13,0)+E425+Calculator!$B$14,'Tax Tables'!$B$36)</f>
        <v>1000</v>
      </c>
      <c r="L425" s="11" t="n">
        <f aca="false">MAX(A425-K425,0)</f>
        <v>205000</v>
      </c>
      <c r="M425" s="11" t="n">
        <f aca="false">SUMPRODUCT((L425&gt;'Tax Tables'!$A$5:$A$17)*(L425-'Tax Tables'!$A$5:$A$17)*'Tax Tables'!$C$5:$C$17)</f>
        <v>22100</v>
      </c>
      <c r="N425" s="11" t="n">
        <f aca="false">IF(H425&lt;0,-1E+099,A425-E425-M425+J425+(E425+F425)*Calculator!$B$9)</f>
        <v>361835</v>
      </c>
      <c r="O425" s="2"/>
      <c r="P425" s="11" t="n">
        <f aca="false">412*$B$3</f>
        <v>206000</v>
      </c>
      <c r="Q425" s="11" t="n">
        <f aca="false">MIN(P425,'Tax Tables'!$B$31*'Tax Tables'!$B$32)</f>
        <v>96000</v>
      </c>
      <c r="R425" s="11" t="n">
        <f aca="false">P425-Q425</f>
        <v>110000</v>
      </c>
      <c r="S425" s="11" t="n">
        <f aca="false">IF(Calculator!$B$6="Yes",MIN(Q425,'Tax Tables'!$B$31*'Tax Tables'!$B$32),0)</f>
        <v>96000</v>
      </c>
      <c r="T425" s="11" t="n">
        <f aca="false">S425*Calculator!$B$7</f>
        <v>19200</v>
      </c>
      <c r="U425" s="11" t="n">
        <f aca="false">S425*Calculator!$B$8</f>
        <v>16320</v>
      </c>
      <c r="V425" s="11" t="n">
        <f aca="false">IF(Q425&gt;0,'Tax Tables'!$B$32*MIN(MAX(Q425/'Tax Tables'!$B$32*'Tax Tables'!$B$33,'Tax Tables'!$B$34),'Tax Tables'!$B$35),0)</f>
        <v>135</v>
      </c>
      <c r="W425" s="11" t="n">
        <f aca="false">Calculator!$B$5-P425-U425-V425</f>
        <v>177545</v>
      </c>
      <c r="X425" s="11" t="n">
        <f aca="false">'Tax Tables'!$B$22*(MAX(W425,0)-IF(Calculator!$B$10="Yes",MIN(MAX(W425,0),'Tax Tables'!$B$27)*'Tax Tables'!$B$28+MIN(MAX(MAX(W425,0)-'Tax Tables'!$B$27,0),'Tax Tables'!$B$29)*'Tax Tables'!$B$30,MIN(MAX(W425,0),'Tax Tables'!$B$23)*'Tax Tables'!$B$24+MIN(MAX(MAX(W425,0)-'Tax Tables'!$B$23,0),'Tax Tables'!$B$25)*'Tax Tables'!$B$26))*1-MIN('Tax Tables'!$B$22*(MAX(W425,0)-IF(Calculator!$B$10="Yes",MIN(MAX(W425,0),'Tax Tables'!$B$27)*'Tax Tables'!$B$28+MIN(MAX(MAX(W425,0)-'Tax Tables'!$B$27,0),'Tax Tables'!$B$29)*'Tax Tables'!$B$30,MIN(MAX(W425,0),'Tax Tables'!$B$23)*'Tax Tables'!$B$24+MIN(MAX(MAX(W425,0)-'Tax Tables'!$B$23,0),'Tax Tables'!$B$25)*'Tax Tables'!$B$26))*Calculator!$B$11,Calculator!$B$12)</f>
        <v>14666.325</v>
      </c>
      <c r="Y425" s="11" t="n">
        <f aca="false">MAX(W425,0)-X425</f>
        <v>162878.675</v>
      </c>
      <c r="Z425" s="11" t="n">
        <f aca="false">MIN(IF(P425&gt;0,Calculator!$B$13,0)+T425+Calculator!$B$14,'Tax Tables'!$B$36)</f>
        <v>20200</v>
      </c>
      <c r="AA425" s="11" t="n">
        <f aca="false">MAX(P425-Z425,0)</f>
        <v>185800</v>
      </c>
      <c r="AB425" s="11" t="n">
        <f aca="false">SUMPRODUCT((AA425&gt;'Tax Tables'!$A$5:$A$17)*(AA425-'Tax Tables'!$A$5:$A$17)*'Tax Tables'!$C$5:$C$17)</f>
        <v>18594</v>
      </c>
      <c r="AC425" s="11" t="n">
        <f aca="false">IF(W425&lt;0,-1E+099,P425-T425-AB425+Y425+(T425+U425)*Calculator!$B$9)</f>
        <v>366604.675</v>
      </c>
    </row>
    <row r="426" customFormat="false" ht="15" hidden="false" customHeight="false" outlineLevel="0" collapsed="false">
      <c r="A426" s="11" t="n">
        <f aca="false">413*$B$3</f>
        <v>206500</v>
      </c>
      <c r="B426" s="11" t="n">
        <f aca="false">0</f>
        <v>0</v>
      </c>
      <c r="C426" s="11" t="n">
        <f aca="false">A426-B426</f>
        <v>206500</v>
      </c>
      <c r="D426" s="11" t="n">
        <f aca="false">IF(Calculator!$B$6="Yes",MIN(B426,'Tax Tables'!$B$31*'Tax Tables'!$B$32),0)</f>
        <v>0</v>
      </c>
      <c r="E426" s="11" t="n">
        <f aca="false">D426*Calculator!$B$7</f>
        <v>0</v>
      </c>
      <c r="F426" s="11" t="n">
        <f aca="false">D426*Calculator!$B$8</f>
        <v>0</v>
      </c>
      <c r="G426" s="11" t="n">
        <f aca="false">IF(B426&gt;0,'Tax Tables'!$B$32*MIN(MAX(B426/'Tax Tables'!$B$32*'Tax Tables'!$B$33,'Tax Tables'!$B$34),'Tax Tables'!$B$35),0)</f>
        <v>0</v>
      </c>
      <c r="H426" s="11" t="n">
        <f aca="false">Calculator!$B$5-A426-F426-G426</f>
        <v>193500</v>
      </c>
      <c r="I426" s="11" t="n">
        <f aca="false">'Tax Tables'!$B$22*(MAX(H426,0)-IF(Calculator!$B$10="Yes",MIN(MAX(H426,0),'Tax Tables'!$B$27)*'Tax Tables'!$B$28+MIN(MAX(MAX(H426,0)-'Tax Tables'!$B$27,0),'Tax Tables'!$B$29)*'Tax Tables'!$B$30,MIN(MAX(H426,0),'Tax Tables'!$B$23)*'Tax Tables'!$B$24+MIN(MAX(MAX(H426,0)-'Tax Tables'!$B$23,0),'Tax Tables'!$B$25)*'Tax Tables'!$B$26))*1-MIN('Tax Tables'!$B$22*(MAX(H426,0)-IF(Calculator!$B$10="Yes",MIN(MAX(H426,0),'Tax Tables'!$B$27)*'Tax Tables'!$B$28+MIN(MAX(MAX(H426,0)-'Tax Tables'!$B$27,0),'Tax Tables'!$B$29)*'Tax Tables'!$B$30,MIN(MAX(H426,0),'Tax Tables'!$B$23)*'Tax Tables'!$B$24+MIN(MAX(MAX(H426,0)-'Tax Tables'!$B$23,0),'Tax Tables'!$B$25)*'Tax Tables'!$B$26))*Calculator!$B$11,Calculator!$B$12)</f>
        <v>16022.5</v>
      </c>
      <c r="J426" s="11" t="n">
        <f aca="false">MAX(H426,0)-I426</f>
        <v>177477.5</v>
      </c>
      <c r="K426" s="11" t="n">
        <f aca="false">MIN(IF(A426&gt;0,Calculator!$B$13,0)+E426+Calculator!$B$14,'Tax Tables'!$B$36)</f>
        <v>1000</v>
      </c>
      <c r="L426" s="11" t="n">
        <f aca="false">MAX(A426-K426,0)</f>
        <v>205500</v>
      </c>
      <c r="M426" s="11" t="n">
        <f aca="false">SUMPRODUCT((L426&gt;'Tax Tables'!$A$5:$A$17)*(L426-'Tax Tables'!$A$5:$A$17)*'Tax Tables'!$C$5:$C$17)</f>
        <v>22195</v>
      </c>
      <c r="N426" s="11" t="n">
        <f aca="false">IF(H426&lt;0,-1E+099,A426-E426-M426+J426+(E426+F426)*Calculator!$B$9)</f>
        <v>361782.5</v>
      </c>
      <c r="O426" s="2"/>
      <c r="P426" s="11" t="n">
        <f aca="false">413*$B$3</f>
        <v>206500</v>
      </c>
      <c r="Q426" s="11" t="n">
        <f aca="false">MIN(P426,'Tax Tables'!$B$31*'Tax Tables'!$B$32)</f>
        <v>96000</v>
      </c>
      <c r="R426" s="11" t="n">
        <f aca="false">P426-Q426</f>
        <v>110500</v>
      </c>
      <c r="S426" s="11" t="n">
        <f aca="false">IF(Calculator!$B$6="Yes",MIN(Q426,'Tax Tables'!$B$31*'Tax Tables'!$B$32),0)</f>
        <v>96000</v>
      </c>
      <c r="T426" s="11" t="n">
        <f aca="false">S426*Calculator!$B$7</f>
        <v>19200</v>
      </c>
      <c r="U426" s="11" t="n">
        <f aca="false">S426*Calculator!$B$8</f>
        <v>16320</v>
      </c>
      <c r="V426" s="11" t="n">
        <f aca="false">IF(Q426&gt;0,'Tax Tables'!$B$32*MIN(MAX(Q426/'Tax Tables'!$B$32*'Tax Tables'!$B$33,'Tax Tables'!$B$34),'Tax Tables'!$B$35),0)</f>
        <v>135</v>
      </c>
      <c r="W426" s="11" t="n">
        <f aca="false">Calculator!$B$5-P426-U426-V426</f>
        <v>177045</v>
      </c>
      <c r="X426" s="11" t="n">
        <f aca="false">'Tax Tables'!$B$22*(MAX(W426,0)-IF(Calculator!$B$10="Yes",MIN(MAX(W426,0),'Tax Tables'!$B$27)*'Tax Tables'!$B$28+MIN(MAX(MAX(W426,0)-'Tax Tables'!$B$27,0),'Tax Tables'!$B$29)*'Tax Tables'!$B$30,MIN(MAX(W426,0),'Tax Tables'!$B$23)*'Tax Tables'!$B$24+MIN(MAX(MAX(W426,0)-'Tax Tables'!$B$23,0),'Tax Tables'!$B$25)*'Tax Tables'!$B$26))*1-MIN('Tax Tables'!$B$22*(MAX(W426,0)-IF(Calculator!$B$10="Yes",MIN(MAX(W426,0),'Tax Tables'!$B$27)*'Tax Tables'!$B$28+MIN(MAX(MAX(W426,0)-'Tax Tables'!$B$27,0),'Tax Tables'!$B$29)*'Tax Tables'!$B$30,MIN(MAX(W426,0),'Tax Tables'!$B$23)*'Tax Tables'!$B$24+MIN(MAX(MAX(W426,0)-'Tax Tables'!$B$23,0),'Tax Tables'!$B$25)*'Tax Tables'!$B$26))*Calculator!$B$11,Calculator!$B$12)</f>
        <v>14623.825</v>
      </c>
      <c r="Y426" s="11" t="n">
        <f aca="false">MAX(W426,0)-X426</f>
        <v>162421.175</v>
      </c>
      <c r="Z426" s="11" t="n">
        <f aca="false">MIN(IF(P426&gt;0,Calculator!$B$13,0)+T426+Calculator!$B$14,'Tax Tables'!$B$36)</f>
        <v>20200</v>
      </c>
      <c r="AA426" s="11" t="n">
        <f aca="false">MAX(P426-Z426,0)</f>
        <v>186300</v>
      </c>
      <c r="AB426" s="11" t="n">
        <f aca="false">SUMPRODUCT((AA426&gt;'Tax Tables'!$A$5:$A$17)*(AA426-'Tax Tables'!$A$5:$A$17)*'Tax Tables'!$C$5:$C$17)</f>
        <v>18684</v>
      </c>
      <c r="AC426" s="11" t="n">
        <f aca="false">IF(W426&lt;0,-1E+099,P426-T426-AB426+Y426+(T426+U426)*Calculator!$B$9)</f>
        <v>366557.175</v>
      </c>
    </row>
    <row r="427" customFormat="false" ht="15" hidden="false" customHeight="false" outlineLevel="0" collapsed="false">
      <c r="A427" s="11" t="n">
        <f aca="false">414*$B$3</f>
        <v>207000</v>
      </c>
      <c r="B427" s="11" t="n">
        <f aca="false">0</f>
        <v>0</v>
      </c>
      <c r="C427" s="11" t="n">
        <f aca="false">A427-B427</f>
        <v>207000</v>
      </c>
      <c r="D427" s="11" t="n">
        <f aca="false">IF(Calculator!$B$6="Yes",MIN(B427,'Tax Tables'!$B$31*'Tax Tables'!$B$32),0)</f>
        <v>0</v>
      </c>
      <c r="E427" s="11" t="n">
        <f aca="false">D427*Calculator!$B$7</f>
        <v>0</v>
      </c>
      <c r="F427" s="11" t="n">
        <f aca="false">D427*Calculator!$B$8</f>
        <v>0</v>
      </c>
      <c r="G427" s="11" t="n">
        <f aca="false">IF(B427&gt;0,'Tax Tables'!$B$32*MIN(MAX(B427/'Tax Tables'!$B$32*'Tax Tables'!$B$33,'Tax Tables'!$B$34),'Tax Tables'!$B$35),0)</f>
        <v>0</v>
      </c>
      <c r="H427" s="11" t="n">
        <f aca="false">Calculator!$B$5-A427-F427-G427</f>
        <v>193000</v>
      </c>
      <c r="I427" s="11" t="n">
        <f aca="false">'Tax Tables'!$B$22*(MAX(H427,0)-IF(Calculator!$B$10="Yes",MIN(MAX(H427,0),'Tax Tables'!$B$27)*'Tax Tables'!$B$28+MIN(MAX(MAX(H427,0)-'Tax Tables'!$B$27,0),'Tax Tables'!$B$29)*'Tax Tables'!$B$30,MIN(MAX(H427,0),'Tax Tables'!$B$23)*'Tax Tables'!$B$24+MIN(MAX(MAX(H427,0)-'Tax Tables'!$B$23,0),'Tax Tables'!$B$25)*'Tax Tables'!$B$26))*1-MIN('Tax Tables'!$B$22*(MAX(H427,0)-IF(Calculator!$B$10="Yes",MIN(MAX(H427,0),'Tax Tables'!$B$27)*'Tax Tables'!$B$28+MIN(MAX(MAX(H427,0)-'Tax Tables'!$B$27,0),'Tax Tables'!$B$29)*'Tax Tables'!$B$30,MIN(MAX(H427,0),'Tax Tables'!$B$23)*'Tax Tables'!$B$24+MIN(MAX(MAX(H427,0)-'Tax Tables'!$B$23,0),'Tax Tables'!$B$25)*'Tax Tables'!$B$26))*Calculator!$B$11,Calculator!$B$12)</f>
        <v>15980</v>
      </c>
      <c r="J427" s="11" t="n">
        <f aca="false">MAX(H427,0)-I427</f>
        <v>177020</v>
      </c>
      <c r="K427" s="11" t="n">
        <f aca="false">MIN(IF(A427&gt;0,Calculator!$B$13,0)+E427+Calculator!$B$14,'Tax Tables'!$B$36)</f>
        <v>1000</v>
      </c>
      <c r="L427" s="11" t="n">
        <f aca="false">MAX(A427-K427,0)</f>
        <v>206000</v>
      </c>
      <c r="M427" s="11" t="n">
        <f aca="false">SUMPRODUCT((L427&gt;'Tax Tables'!$A$5:$A$17)*(L427-'Tax Tables'!$A$5:$A$17)*'Tax Tables'!$C$5:$C$17)</f>
        <v>22290</v>
      </c>
      <c r="N427" s="11" t="n">
        <f aca="false">IF(H427&lt;0,-1E+099,A427-E427-M427+J427+(E427+F427)*Calculator!$B$9)</f>
        <v>361730</v>
      </c>
      <c r="O427" s="2"/>
      <c r="P427" s="11" t="n">
        <f aca="false">414*$B$3</f>
        <v>207000</v>
      </c>
      <c r="Q427" s="11" t="n">
        <f aca="false">MIN(P427,'Tax Tables'!$B$31*'Tax Tables'!$B$32)</f>
        <v>96000</v>
      </c>
      <c r="R427" s="11" t="n">
        <f aca="false">P427-Q427</f>
        <v>111000</v>
      </c>
      <c r="S427" s="11" t="n">
        <f aca="false">IF(Calculator!$B$6="Yes",MIN(Q427,'Tax Tables'!$B$31*'Tax Tables'!$B$32),0)</f>
        <v>96000</v>
      </c>
      <c r="T427" s="11" t="n">
        <f aca="false">S427*Calculator!$B$7</f>
        <v>19200</v>
      </c>
      <c r="U427" s="11" t="n">
        <f aca="false">S427*Calculator!$B$8</f>
        <v>16320</v>
      </c>
      <c r="V427" s="11" t="n">
        <f aca="false">IF(Q427&gt;0,'Tax Tables'!$B$32*MIN(MAX(Q427/'Tax Tables'!$B$32*'Tax Tables'!$B$33,'Tax Tables'!$B$34),'Tax Tables'!$B$35),0)</f>
        <v>135</v>
      </c>
      <c r="W427" s="11" t="n">
        <f aca="false">Calculator!$B$5-P427-U427-V427</f>
        <v>176545</v>
      </c>
      <c r="X427" s="11" t="n">
        <f aca="false">'Tax Tables'!$B$22*(MAX(W427,0)-IF(Calculator!$B$10="Yes",MIN(MAX(W427,0),'Tax Tables'!$B$27)*'Tax Tables'!$B$28+MIN(MAX(MAX(W427,0)-'Tax Tables'!$B$27,0),'Tax Tables'!$B$29)*'Tax Tables'!$B$30,MIN(MAX(W427,0),'Tax Tables'!$B$23)*'Tax Tables'!$B$24+MIN(MAX(MAX(W427,0)-'Tax Tables'!$B$23,0),'Tax Tables'!$B$25)*'Tax Tables'!$B$26))*1-MIN('Tax Tables'!$B$22*(MAX(W427,0)-IF(Calculator!$B$10="Yes",MIN(MAX(W427,0),'Tax Tables'!$B$27)*'Tax Tables'!$B$28+MIN(MAX(MAX(W427,0)-'Tax Tables'!$B$27,0),'Tax Tables'!$B$29)*'Tax Tables'!$B$30,MIN(MAX(W427,0),'Tax Tables'!$B$23)*'Tax Tables'!$B$24+MIN(MAX(MAX(W427,0)-'Tax Tables'!$B$23,0),'Tax Tables'!$B$25)*'Tax Tables'!$B$26))*Calculator!$B$11,Calculator!$B$12)</f>
        <v>14581.325</v>
      </c>
      <c r="Y427" s="11" t="n">
        <f aca="false">MAX(W427,0)-X427</f>
        <v>161963.675</v>
      </c>
      <c r="Z427" s="11" t="n">
        <f aca="false">MIN(IF(P427&gt;0,Calculator!$B$13,0)+T427+Calculator!$B$14,'Tax Tables'!$B$36)</f>
        <v>20200</v>
      </c>
      <c r="AA427" s="11" t="n">
        <f aca="false">MAX(P427-Z427,0)</f>
        <v>186800</v>
      </c>
      <c r="AB427" s="11" t="n">
        <f aca="false">SUMPRODUCT((AA427&gt;'Tax Tables'!$A$5:$A$17)*(AA427-'Tax Tables'!$A$5:$A$17)*'Tax Tables'!$C$5:$C$17)</f>
        <v>18774</v>
      </c>
      <c r="AC427" s="11" t="n">
        <f aca="false">IF(W427&lt;0,-1E+099,P427-T427-AB427+Y427+(T427+U427)*Calculator!$B$9)</f>
        <v>366509.675</v>
      </c>
    </row>
    <row r="428" customFormat="false" ht="15" hidden="false" customHeight="false" outlineLevel="0" collapsed="false">
      <c r="A428" s="11" t="n">
        <f aca="false">415*$B$3</f>
        <v>207500</v>
      </c>
      <c r="B428" s="11" t="n">
        <f aca="false">0</f>
        <v>0</v>
      </c>
      <c r="C428" s="11" t="n">
        <f aca="false">A428-B428</f>
        <v>207500</v>
      </c>
      <c r="D428" s="11" t="n">
        <f aca="false">IF(Calculator!$B$6="Yes",MIN(B428,'Tax Tables'!$B$31*'Tax Tables'!$B$32),0)</f>
        <v>0</v>
      </c>
      <c r="E428" s="11" t="n">
        <f aca="false">D428*Calculator!$B$7</f>
        <v>0</v>
      </c>
      <c r="F428" s="11" t="n">
        <f aca="false">D428*Calculator!$B$8</f>
        <v>0</v>
      </c>
      <c r="G428" s="11" t="n">
        <f aca="false">IF(B428&gt;0,'Tax Tables'!$B$32*MIN(MAX(B428/'Tax Tables'!$B$32*'Tax Tables'!$B$33,'Tax Tables'!$B$34),'Tax Tables'!$B$35),0)</f>
        <v>0</v>
      </c>
      <c r="H428" s="11" t="n">
        <f aca="false">Calculator!$B$5-A428-F428-G428</f>
        <v>192500</v>
      </c>
      <c r="I428" s="11" t="n">
        <f aca="false">'Tax Tables'!$B$22*(MAX(H428,0)-IF(Calculator!$B$10="Yes",MIN(MAX(H428,0),'Tax Tables'!$B$27)*'Tax Tables'!$B$28+MIN(MAX(MAX(H428,0)-'Tax Tables'!$B$27,0),'Tax Tables'!$B$29)*'Tax Tables'!$B$30,MIN(MAX(H428,0),'Tax Tables'!$B$23)*'Tax Tables'!$B$24+MIN(MAX(MAX(H428,0)-'Tax Tables'!$B$23,0),'Tax Tables'!$B$25)*'Tax Tables'!$B$26))*1-MIN('Tax Tables'!$B$22*(MAX(H428,0)-IF(Calculator!$B$10="Yes",MIN(MAX(H428,0),'Tax Tables'!$B$27)*'Tax Tables'!$B$28+MIN(MAX(MAX(H428,0)-'Tax Tables'!$B$27,0),'Tax Tables'!$B$29)*'Tax Tables'!$B$30,MIN(MAX(H428,0),'Tax Tables'!$B$23)*'Tax Tables'!$B$24+MIN(MAX(MAX(H428,0)-'Tax Tables'!$B$23,0),'Tax Tables'!$B$25)*'Tax Tables'!$B$26))*Calculator!$B$11,Calculator!$B$12)</f>
        <v>15937.5</v>
      </c>
      <c r="J428" s="11" t="n">
        <f aca="false">MAX(H428,0)-I428</f>
        <v>176562.5</v>
      </c>
      <c r="K428" s="11" t="n">
        <f aca="false">MIN(IF(A428&gt;0,Calculator!$B$13,0)+E428+Calculator!$B$14,'Tax Tables'!$B$36)</f>
        <v>1000</v>
      </c>
      <c r="L428" s="11" t="n">
        <f aca="false">MAX(A428-K428,0)</f>
        <v>206500</v>
      </c>
      <c r="M428" s="11" t="n">
        <f aca="false">SUMPRODUCT((L428&gt;'Tax Tables'!$A$5:$A$17)*(L428-'Tax Tables'!$A$5:$A$17)*'Tax Tables'!$C$5:$C$17)</f>
        <v>22385</v>
      </c>
      <c r="N428" s="11" t="n">
        <f aca="false">IF(H428&lt;0,-1E+099,A428-E428-M428+J428+(E428+F428)*Calculator!$B$9)</f>
        <v>361677.5</v>
      </c>
      <c r="O428" s="2"/>
      <c r="P428" s="11" t="n">
        <f aca="false">415*$B$3</f>
        <v>207500</v>
      </c>
      <c r="Q428" s="11" t="n">
        <f aca="false">MIN(P428,'Tax Tables'!$B$31*'Tax Tables'!$B$32)</f>
        <v>96000</v>
      </c>
      <c r="R428" s="11" t="n">
        <f aca="false">P428-Q428</f>
        <v>111500</v>
      </c>
      <c r="S428" s="11" t="n">
        <f aca="false">IF(Calculator!$B$6="Yes",MIN(Q428,'Tax Tables'!$B$31*'Tax Tables'!$B$32),0)</f>
        <v>96000</v>
      </c>
      <c r="T428" s="11" t="n">
        <f aca="false">S428*Calculator!$B$7</f>
        <v>19200</v>
      </c>
      <c r="U428" s="11" t="n">
        <f aca="false">S428*Calculator!$B$8</f>
        <v>16320</v>
      </c>
      <c r="V428" s="11" t="n">
        <f aca="false">IF(Q428&gt;0,'Tax Tables'!$B$32*MIN(MAX(Q428/'Tax Tables'!$B$32*'Tax Tables'!$B$33,'Tax Tables'!$B$34),'Tax Tables'!$B$35),0)</f>
        <v>135</v>
      </c>
      <c r="W428" s="11" t="n">
        <f aca="false">Calculator!$B$5-P428-U428-V428</f>
        <v>176045</v>
      </c>
      <c r="X428" s="11" t="n">
        <f aca="false">'Tax Tables'!$B$22*(MAX(W428,0)-IF(Calculator!$B$10="Yes",MIN(MAX(W428,0),'Tax Tables'!$B$27)*'Tax Tables'!$B$28+MIN(MAX(MAX(W428,0)-'Tax Tables'!$B$27,0),'Tax Tables'!$B$29)*'Tax Tables'!$B$30,MIN(MAX(W428,0),'Tax Tables'!$B$23)*'Tax Tables'!$B$24+MIN(MAX(MAX(W428,0)-'Tax Tables'!$B$23,0),'Tax Tables'!$B$25)*'Tax Tables'!$B$26))*1-MIN('Tax Tables'!$B$22*(MAX(W428,0)-IF(Calculator!$B$10="Yes",MIN(MAX(W428,0),'Tax Tables'!$B$27)*'Tax Tables'!$B$28+MIN(MAX(MAX(W428,0)-'Tax Tables'!$B$27,0),'Tax Tables'!$B$29)*'Tax Tables'!$B$30,MIN(MAX(W428,0),'Tax Tables'!$B$23)*'Tax Tables'!$B$24+MIN(MAX(MAX(W428,0)-'Tax Tables'!$B$23,0),'Tax Tables'!$B$25)*'Tax Tables'!$B$26))*Calculator!$B$11,Calculator!$B$12)</f>
        <v>14538.825</v>
      </c>
      <c r="Y428" s="11" t="n">
        <f aca="false">MAX(W428,0)-X428</f>
        <v>161506.175</v>
      </c>
      <c r="Z428" s="11" t="n">
        <f aca="false">MIN(IF(P428&gt;0,Calculator!$B$13,0)+T428+Calculator!$B$14,'Tax Tables'!$B$36)</f>
        <v>20200</v>
      </c>
      <c r="AA428" s="11" t="n">
        <f aca="false">MAX(P428-Z428,0)</f>
        <v>187300</v>
      </c>
      <c r="AB428" s="11" t="n">
        <f aca="false">SUMPRODUCT((AA428&gt;'Tax Tables'!$A$5:$A$17)*(AA428-'Tax Tables'!$A$5:$A$17)*'Tax Tables'!$C$5:$C$17)</f>
        <v>18864</v>
      </c>
      <c r="AC428" s="11" t="n">
        <f aca="false">IF(W428&lt;0,-1E+099,P428-T428-AB428+Y428+(T428+U428)*Calculator!$B$9)</f>
        <v>366462.175</v>
      </c>
    </row>
    <row r="429" customFormat="false" ht="15" hidden="false" customHeight="false" outlineLevel="0" collapsed="false">
      <c r="A429" s="11" t="n">
        <f aca="false">416*$B$3</f>
        <v>208000</v>
      </c>
      <c r="B429" s="11" t="n">
        <f aca="false">0</f>
        <v>0</v>
      </c>
      <c r="C429" s="11" t="n">
        <f aca="false">A429-B429</f>
        <v>208000</v>
      </c>
      <c r="D429" s="11" t="n">
        <f aca="false">IF(Calculator!$B$6="Yes",MIN(B429,'Tax Tables'!$B$31*'Tax Tables'!$B$32),0)</f>
        <v>0</v>
      </c>
      <c r="E429" s="11" t="n">
        <f aca="false">D429*Calculator!$B$7</f>
        <v>0</v>
      </c>
      <c r="F429" s="11" t="n">
        <f aca="false">D429*Calculator!$B$8</f>
        <v>0</v>
      </c>
      <c r="G429" s="11" t="n">
        <f aca="false">IF(B429&gt;0,'Tax Tables'!$B$32*MIN(MAX(B429/'Tax Tables'!$B$32*'Tax Tables'!$B$33,'Tax Tables'!$B$34),'Tax Tables'!$B$35),0)</f>
        <v>0</v>
      </c>
      <c r="H429" s="11" t="n">
        <f aca="false">Calculator!$B$5-A429-F429-G429</f>
        <v>192000</v>
      </c>
      <c r="I429" s="11" t="n">
        <f aca="false">'Tax Tables'!$B$22*(MAX(H429,0)-IF(Calculator!$B$10="Yes",MIN(MAX(H429,0),'Tax Tables'!$B$27)*'Tax Tables'!$B$28+MIN(MAX(MAX(H429,0)-'Tax Tables'!$B$27,0),'Tax Tables'!$B$29)*'Tax Tables'!$B$30,MIN(MAX(H429,0),'Tax Tables'!$B$23)*'Tax Tables'!$B$24+MIN(MAX(MAX(H429,0)-'Tax Tables'!$B$23,0),'Tax Tables'!$B$25)*'Tax Tables'!$B$26))*1-MIN('Tax Tables'!$B$22*(MAX(H429,0)-IF(Calculator!$B$10="Yes",MIN(MAX(H429,0),'Tax Tables'!$B$27)*'Tax Tables'!$B$28+MIN(MAX(MAX(H429,0)-'Tax Tables'!$B$27,0),'Tax Tables'!$B$29)*'Tax Tables'!$B$30,MIN(MAX(H429,0),'Tax Tables'!$B$23)*'Tax Tables'!$B$24+MIN(MAX(MAX(H429,0)-'Tax Tables'!$B$23,0),'Tax Tables'!$B$25)*'Tax Tables'!$B$26))*Calculator!$B$11,Calculator!$B$12)</f>
        <v>15895</v>
      </c>
      <c r="J429" s="11" t="n">
        <f aca="false">MAX(H429,0)-I429</f>
        <v>176105</v>
      </c>
      <c r="K429" s="11" t="n">
        <f aca="false">MIN(IF(A429&gt;0,Calculator!$B$13,0)+E429+Calculator!$B$14,'Tax Tables'!$B$36)</f>
        <v>1000</v>
      </c>
      <c r="L429" s="11" t="n">
        <f aca="false">MAX(A429-K429,0)</f>
        <v>207000</v>
      </c>
      <c r="M429" s="11" t="n">
        <f aca="false">SUMPRODUCT((L429&gt;'Tax Tables'!$A$5:$A$17)*(L429-'Tax Tables'!$A$5:$A$17)*'Tax Tables'!$C$5:$C$17)</f>
        <v>22480</v>
      </c>
      <c r="N429" s="11" t="n">
        <f aca="false">IF(H429&lt;0,-1E+099,A429-E429-M429+J429+(E429+F429)*Calculator!$B$9)</f>
        <v>361625</v>
      </c>
      <c r="O429" s="2"/>
      <c r="P429" s="11" t="n">
        <f aca="false">416*$B$3</f>
        <v>208000</v>
      </c>
      <c r="Q429" s="11" t="n">
        <f aca="false">MIN(P429,'Tax Tables'!$B$31*'Tax Tables'!$B$32)</f>
        <v>96000</v>
      </c>
      <c r="R429" s="11" t="n">
        <f aca="false">P429-Q429</f>
        <v>112000</v>
      </c>
      <c r="S429" s="11" t="n">
        <f aca="false">IF(Calculator!$B$6="Yes",MIN(Q429,'Tax Tables'!$B$31*'Tax Tables'!$B$32),0)</f>
        <v>96000</v>
      </c>
      <c r="T429" s="11" t="n">
        <f aca="false">S429*Calculator!$B$7</f>
        <v>19200</v>
      </c>
      <c r="U429" s="11" t="n">
        <f aca="false">S429*Calculator!$B$8</f>
        <v>16320</v>
      </c>
      <c r="V429" s="11" t="n">
        <f aca="false">IF(Q429&gt;0,'Tax Tables'!$B$32*MIN(MAX(Q429/'Tax Tables'!$B$32*'Tax Tables'!$B$33,'Tax Tables'!$B$34),'Tax Tables'!$B$35),0)</f>
        <v>135</v>
      </c>
      <c r="W429" s="11" t="n">
        <f aca="false">Calculator!$B$5-P429-U429-V429</f>
        <v>175545</v>
      </c>
      <c r="X429" s="11" t="n">
        <f aca="false">'Tax Tables'!$B$22*(MAX(W429,0)-IF(Calculator!$B$10="Yes",MIN(MAX(W429,0),'Tax Tables'!$B$27)*'Tax Tables'!$B$28+MIN(MAX(MAX(W429,0)-'Tax Tables'!$B$27,0),'Tax Tables'!$B$29)*'Tax Tables'!$B$30,MIN(MAX(W429,0),'Tax Tables'!$B$23)*'Tax Tables'!$B$24+MIN(MAX(MAX(W429,0)-'Tax Tables'!$B$23,0),'Tax Tables'!$B$25)*'Tax Tables'!$B$26))*1-MIN('Tax Tables'!$B$22*(MAX(W429,0)-IF(Calculator!$B$10="Yes",MIN(MAX(W429,0),'Tax Tables'!$B$27)*'Tax Tables'!$B$28+MIN(MAX(MAX(W429,0)-'Tax Tables'!$B$27,0),'Tax Tables'!$B$29)*'Tax Tables'!$B$30,MIN(MAX(W429,0),'Tax Tables'!$B$23)*'Tax Tables'!$B$24+MIN(MAX(MAX(W429,0)-'Tax Tables'!$B$23,0),'Tax Tables'!$B$25)*'Tax Tables'!$B$26))*Calculator!$B$11,Calculator!$B$12)</f>
        <v>14496.325</v>
      </c>
      <c r="Y429" s="11" t="n">
        <f aca="false">MAX(W429,0)-X429</f>
        <v>161048.675</v>
      </c>
      <c r="Z429" s="11" t="n">
        <f aca="false">MIN(IF(P429&gt;0,Calculator!$B$13,0)+T429+Calculator!$B$14,'Tax Tables'!$B$36)</f>
        <v>20200</v>
      </c>
      <c r="AA429" s="11" t="n">
        <f aca="false">MAX(P429-Z429,0)</f>
        <v>187800</v>
      </c>
      <c r="AB429" s="11" t="n">
        <f aca="false">SUMPRODUCT((AA429&gt;'Tax Tables'!$A$5:$A$17)*(AA429-'Tax Tables'!$A$5:$A$17)*'Tax Tables'!$C$5:$C$17)</f>
        <v>18954</v>
      </c>
      <c r="AC429" s="11" t="n">
        <f aca="false">IF(W429&lt;0,-1E+099,P429-T429-AB429+Y429+(T429+U429)*Calculator!$B$9)</f>
        <v>366414.675</v>
      </c>
    </row>
    <row r="430" customFormat="false" ht="15" hidden="false" customHeight="false" outlineLevel="0" collapsed="false">
      <c r="A430" s="11" t="n">
        <f aca="false">417*$B$3</f>
        <v>208500</v>
      </c>
      <c r="B430" s="11" t="n">
        <f aca="false">0</f>
        <v>0</v>
      </c>
      <c r="C430" s="11" t="n">
        <f aca="false">A430-B430</f>
        <v>208500</v>
      </c>
      <c r="D430" s="11" t="n">
        <f aca="false">IF(Calculator!$B$6="Yes",MIN(B430,'Tax Tables'!$B$31*'Tax Tables'!$B$32),0)</f>
        <v>0</v>
      </c>
      <c r="E430" s="11" t="n">
        <f aca="false">D430*Calculator!$B$7</f>
        <v>0</v>
      </c>
      <c r="F430" s="11" t="n">
        <f aca="false">D430*Calculator!$B$8</f>
        <v>0</v>
      </c>
      <c r="G430" s="11" t="n">
        <f aca="false">IF(B430&gt;0,'Tax Tables'!$B$32*MIN(MAX(B430/'Tax Tables'!$B$32*'Tax Tables'!$B$33,'Tax Tables'!$B$34),'Tax Tables'!$B$35),0)</f>
        <v>0</v>
      </c>
      <c r="H430" s="11" t="n">
        <f aca="false">Calculator!$B$5-A430-F430-G430</f>
        <v>191500</v>
      </c>
      <c r="I430" s="11" t="n">
        <f aca="false">'Tax Tables'!$B$22*(MAX(H430,0)-IF(Calculator!$B$10="Yes",MIN(MAX(H430,0),'Tax Tables'!$B$27)*'Tax Tables'!$B$28+MIN(MAX(MAX(H430,0)-'Tax Tables'!$B$27,0),'Tax Tables'!$B$29)*'Tax Tables'!$B$30,MIN(MAX(H430,0),'Tax Tables'!$B$23)*'Tax Tables'!$B$24+MIN(MAX(MAX(H430,0)-'Tax Tables'!$B$23,0),'Tax Tables'!$B$25)*'Tax Tables'!$B$26))*1-MIN('Tax Tables'!$B$22*(MAX(H430,0)-IF(Calculator!$B$10="Yes",MIN(MAX(H430,0),'Tax Tables'!$B$27)*'Tax Tables'!$B$28+MIN(MAX(MAX(H430,0)-'Tax Tables'!$B$27,0),'Tax Tables'!$B$29)*'Tax Tables'!$B$30,MIN(MAX(H430,0),'Tax Tables'!$B$23)*'Tax Tables'!$B$24+MIN(MAX(MAX(H430,0)-'Tax Tables'!$B$23,0),'Tax Tables'!$B$25)*'Tax Tables'!$B$26))*Calculator!$B$11,Calculator!$B$12)</f>
        <v>15852.5</v>
      </c>
      <c r="J430" s="11" t="n">
        <f aca="false">MAX(H430,0)-I430</f>
        <v>175647.5</v>
      </c>
      <c r="K430" s="11" t="n">
        <f aca="false">MIN(IF(A430&gt;0,Calculator!$B$13,0)+E430+Calculator!$B$14,'Tax Tables'!$B$36)</f>
        <v>1000</v>
      </c>
      <c r="L430" s="11" t="n">
        <f aca="false">MAX(A430-K430,0)</f>
        <v>207500</v>
      </c>
      <c r="M430" s="11" t="n">
        <f aca="false">SUMPRODUCT((L430&gt;'Tax Tables'!$A$5:$A$17)*(L430-'Tax Tables'!$A$5:$A$17)*'Tax Tables'!$C$5:$C$17)</f>
        <v>22575</v>
      </c>
      <c r="N430" s="11" t="n">
        <f aca="false">IF(H430&lt;0,-1E+099,A430-E430-M430+J430+(E430+F430)*Calculator!$B$9)</f>
        <v>361572.5</v>
      </c>
      <c r="O430" s="2"/>
      <c r="P430" s="11" t="n">
        <f aca="false">417*$B$3</f>
        <v>208500</v>
      </c>
      <c r="Q430" s="11" t="n">
        <f aca="false">MIN(P430,'Tax Tables'!$B$31*'Tax Tables'!$B$32)</f>
        <v>96000</v>
      </c>
      <c r="R430" s="11" t="n">
        <f aca="false">P430-Q430</f>
        <v>112500</v>
      </c>
      <c r="S430" s="11" t="n">
        <f aca="false">IF(Calculator!$B$6="Yes",MIN(Q430,'Tax Tables'!$B$31*'Tax Tables'!$B$32),0)</f>
        <v>96000</v>
      </c>
      <c r="T430" s="11" t="n">
        <f aca="false">S430*Calculator!$B$7</f>
        <v>19200</v>
      </c>
      <c r="U430" s="11" t="n">
        <f aca="false">S430*Calculator!$B$8</f>
        <v>16320</v>
      </c>
      <c r="V430" s="11" t="n">
        <f aca="false">IF(Q430&gt;0,'Tax Tables'!$B$32*MIN(MAX(Q430/'Tax Tables'!$B$32*'Tax Tables'!$B$33,'Tax Tables'!$B$34),'Tax Tables'!$B$35),0)</f>
        <v>135</v>
      </c>
      <c r="W430" s="11" t="n">
        <f aca="false">Calculator!$B$5-P430-U430-V430</f>
        <v>175045</v>
      </c>
      <c r="X430" s="11" t="n">
        <f aca="false">'Tax Tables'!$B$22*(MAX(W430,0)-IF(Calculator!$B$10="Yes",MIN(MAX(W430,0),'Tax Tables'!$B$27)*'Tax Tables'!$B$28+MIN(MAX(MAX(W430,0)-'Tax Tables'!$B$27,0),'Tax Tables'!$B$29)*'Tax Tables'!$B$30,MIN(MAX(W430,0),'Tax Tables'!$B$23)*'Tax Tables'!$B$24+MIN(MAX(MAX(W430,0)-'Tax Tables'!$B$23,0),'Tax Tables'!$B$25)*'Tax Tables'!$B$26))*1-MIN('Tax Tables'!$B$22*(MAX(W430,0)-IF(Calculator!$B$10="Yes",MIN(MAX(W430,0),'Tax Tables'!$B$27)*'Tax Tables'!$B$28+MIN(MAX(MAX(W430,0)-'Tax Tables'!$B$27,0),'Tax Tables'!$B$29)*'Tax Tables'!$B$30,MIN(MAX(W430,0),'Tax Tables'!$B$23)*'Tax Tables'!$B$24+MIN(MAX(MAX(W430,0)-'Tax Tables'!$B$23,0),'Tax Tables'!$B$25)*'Tax Tables'!$B$26))*Calculator!$B$11,Calculator!$B$12)</f>
        <v>14453.825</v>
      </c>
      <c r="Y430" s="11" t="n">
        <f aca="false">MAX(W430,0)-X430</f>
        <v>160591.175</v>
      </c>
      <c r="Z430" s="11" t="n">
        <f aca="false">MIN(IF(P430&gt;0,Calculator!$B$13,0)+T430+Calculator!$B$14,'Tax Tables'!$B$36)</f>
        <v>20200</v>
      </c>
      <c r="AA430" s="11" t="n">
        <f aca="false">MAX(P430-Z430,0)</f>
        <v>188300</v>
      </c>
      <c r="AB430" s="11" t="n">
        <f aca="false">SUMPRODUCT((AA430&gt;'Tax Tables'!$A$5:$A$17)*(AA430-'Tax Tables'!$A$5:$A$17)*'Tax Tables'!$C$5:$C$17)</f>
        <v>19044</v>
      </c>
      <c r="AC430" s="11" t="n">
        <f aca="false">IF(W430&lt;0,-1E+099,P430-T430-AB430+Y430+(T430+U430)*Calculator!$B$9)</f>
        <v>366367.175</v>
      </c>
    </row>
    <row r="431" customFormat="false" ht="15" hidden="false" customHeight="false" outlineLevel="0" collapsed="false">
      <c r="A431" s="11" t="n">
        <f aca="false">418*$B$3</f>
        <v>209000</v>
      </c>
      <c r="B431" s="11" t="n">
        <f aca="false">0</f>
        <v>0</v>
      </c>
      <c r="C431" s="11" t="n">
        <f aca="false">A431-B431</f>
        <v>209000</v>
      </c>
      <c r="D431" s="11" t="n">
        <f aca="false">IF(Calculator!$B$6="Yes",MIN(B431,'Tax Tables'!$B$31*'Tax Tables'!$B$32),0)</f>
        <v>0</v>
      </c>
      <c r="E431" s="11" t="n">
        <f aca="false">D431*Calculator!$B$7</f>
        <v>0</v>
      </c>
      <c r="F431" s="11" t="n">
        <f aca="false">D431*Calculator!$B$8</f>
        <v>0</v>
      </c>
      <c r="G431" s="11" t="n">
        <f aca="false">IF(B431&gt;0,'Tax Tables'!$B$32*MIN(MAX(B431/'Tax Tables'!$B$32*'Tax Tables'!$B$33,'Tax Tables'!$B$34),'Tax Tables'!$B$35),0)</f>
        <v>0</v>
      </c>
      <c r="H431" s="11" t="n">
        <f aca="false">Calculator!$B$5-A431-F431-G431</f>
        <v>191000</v>
      </c>
      <c r="I431" s="11" t="n">
        <f aca="false">'Tax Tables'!$B$22*(MAX(H431,0)-IF(Calculator!$B$10="Yes",MIN(MAX(H431,0),'Tax Tables'!$B$27)*'Tax Tables'!$B$28+MIN(MAX(MAX(H431,0)-'Tax Tables'!$B$27,0),'Tax Tables'!$B$29)*'Tax Tables'!$B$30,MIN(MAX(H431,0),'Tax Tables'!$B$23)*'Tax Tables'!$B$24+MIN(MAX(MAX(H431,0)-'Tax Tables'!$B$23,0),'Tax Tables'!$B$25)*'Tax Tables'!$B$26))*1-MIN('Tax Tables'!$B$22*(MAX(H431,0)-IF(Calculator!$B$10="Yes",MIN(MAX(H431,0),'Tax Tables'!$B$27)*'Tax Tables'!$B$28+MIN(MAX(MAX(H431,0)-'Tax Tables'!$B$27,0),'Tax Tables'!$B$29)*'Tax Tables'!$B$30,MIN(MAX(H431,0),'Tax Tables'!$B$23)*'Tax Tables'!$B$24+MIN(MAX(MAX(H431,0)-'Tax Tables'!$B$23,0),'Tax Tables'!$B$25)*'Tax Tables'!$B$26))*Calculator!$B$11,Calculator!$B$12)</f>
        <v>15810</v>
      </c>
      <c r="J431" s="11" t="n">
        <f aca="false">MAX(H431,0)-I431</f>
        <v>175190</v>
      </c>
      <c r="K431" s="11" t="n">
        <f aca="false">MIN(IF(A431&gt;0,Calculator!$B$13,0)+E431+Calculator!$B$14,'Tax Tables'!$B$36)</f>
        <v>1000</v>
      </c>
      <c r="L431" s="11" t="n">
        <f aca="false">MAX(A431-K431,0)</f>
        <v>208000</v>
      </c>
      <c r="M431" s="11" t="n">
        <f aca="false">SUMPRODUCT((L431&gt;'Tax Tables'!$A$5:$A$17)*(L431-'Tax Tables'!$A$5:$A$17)*'Tax Tables'!$C$5:$C$17)</f>
        <v>22670</v>
      </c>
      <c r="N431" s="11" t="n">
        <f aca="false">IF(H431&lt;0,-1E+099,A431-E431-M431+J431+(E431+F431)*Calculator!$B$9)</f>
        <v>361520</v>
      </c>
      <c r="O431" s="2"/>
      <c r="P431" s="11" t="n">
        <f aca="false">418*$B$3</f>
        <v>209000</v>
      </c>
      <c r="Q431" s="11" t="n">
        <f aca="false">MIN(P431,'Tax Tables'!$B$31*'Tax Tables'!$B$32)</f>
        <v>96000</v>
      </c>
      <c r="R431" s="11" t="n">
        <f aca="false">P431-Q431</f>
        <v>113000</v>
      </c>
      <c r="S431" s="11" t="n">
        <f aca="false">IF(Calculator!$B$6="Yes",MIN(Q431,'Tax Tables'!$B$31*'Tax Tables'!$B$32),0)</f>
        <v>96000</v>
      </c>
      <c r="T431" s="11" t="n">
        <f aca="false">S431*Calculator!$B$7</f>
        <v>19200</v>
      </c>
      <c r="U431" s="11" t="n">
        <f aca="false">S431*Calculator!$B$8</f>
        <v>16320</v>
      </c>
      <c r="V431" s="11" t="n">
        <f aca="false">IF(Q431&gt;0,'Tax Tables'!$B$32*MIN(MAX(Q431/'Tax Tables'!$B$32*'Tax Tables'!$B$33,'Tax Tables'!$B$34),'Tax Tables'!$B$35),0)</f>
        <v>135</v>
      </c>
      <c r="W431" s="11" t="n">
        <f aca="false">Calculator!$B$5-P431-U431-V431</f>
        <v>174545</v>
      </c>
      <c r="X431" s="11" t="n">
        <f aca="false">'Tax Tables'!$B$22*(MAX(W431,0)-IF(Calculator!$B$10="Yes",MIN(MAX(W431,0),'Tax Tables'!$B$27)*'Tax Tables'!$B$28+MIN(MAX(MAX(W431,0)-'Tax Tables'!$B$27,0),'Tax Tables'!$B$29)*'Tax Tables'!$B$30,MIN(MAX(W431,0),'Tax Tables'!$B$23)*'Tax Tables'!$B$24+MIN(MAX(MAX(W431,0)-'Tax Tables'!$B$23,0),'Tax Tables'!$B$25)*'Tax Tables'!$B$26))*1-MIN('Tax Tables'!$B$22*(MAX(W431,0)-IF(Calculator!$B$10="Yes",MIN(MAX(W431,0),'Tax Tables'!$B$27)*'Tax Tables'!$B$28+MIN(MAX(MAX(W431,0)-'Tax Tables'!$B$27,0),'Tax Tables'!$B$29)*'Tax Tables'!$B$30,MIN(MAX(W431,0),'Tax Tables'!$B$23)*'Tax Tables'!$B$24+MIN(MAX(MAX(W431,0)-'Tax Tables'!$B$23,0),'Tax Tables'!$B$25)*'Tax Tables'!$B$26))*Calculator!$B$11,Calculator!$B$12)</f>
        <v>14411.325</v>
      </c>
      <c r="Y431" s="11" t="n">
        <f aca="false">MAX(W431,0)-X431</f>
        <v>160133.675</v>
      </c>
      <c r="Z431" s="11" t="n">
        <f aca="false">MIN(IF(P431&gt;0,Calculator!$B$13,0)+T431+Calculator!$B$14,'Tax Tables'!$B$36)</f>
        <v>20200</v>
      </c>
      <c r="AA431" s="11" t="n">
        <f aca="false">MAX(P431-Z431,0)</f>
        <v>188800</v>
      </c>
      <c r="AB431" s="11" t="n">
        <f aca="false">SUMPRODUCT((AA431&gt;'Tax Tables'!$A$5:$A$17)*(AA431-'Tax Tables'!$A$5:$A$17)*'Tax Tables'!$C$5:$C$17)</f>
        <v>19134</v>
      </c>
      <c r="AC431" s="11" t="n">
        <f aca="false">IF(W431&lt;0,-1E+099,P431-T431-AB431+Y431+(T431+U431)*Calculator!$B$9)</f>
        <v>366319.675</v>
      </c>
    </row>
    <row r="432" customFormat="false" ht="15" hidden="false" customHeight="false" outlineLevel="0" collapsed="false">
      <c r="A432" s="11" t="n">
        <f aca="false">419*$B$3</f>
        <v>209500</v>
      </c>
      <c r="B432" s="11" t="n">
        <f aca="false">0</f>
        <v>0</v>
      </c>
      <c r="C432" s="11" t="n">
        <f aca="false">A432-B432</f>
        <v>209500</v>
      </c>
      <c r="D432" s="11" t="n">
        <f aca="false">IF(Calculator!$B$6="Yes",MIN(B432,'Tax Tables'!$B$31*'Tax Tables'!$B$32),0)</f>
        <v>0</v>
      </c>
      <c r="E432" s="11" t="n">
        <f aca="false">D432*Calculator!$B$7</f>
        <v>0</v>
      </c>
      <c r="F432" s="11" t="n">
        <f aca="false">D432*Calculator!$B$8</f>
        <v>0</v>
      </c>
      <c r="G432" s="11" t="n">
        <f aca="false">IF(B432&gt;0,'Tax Tables'!$B$32*MIN(MAX(B432/'Tax Tables'!$B$32*'Tax Tables'!$B$33,'Tax Tables'!$B$34),'Tax Tables'!$B$35),0)</f>
        <v>0</v>
      </c>
      <c r="H432" s="11" t="n">
        <f aca="false">Calculator!$B$5-A432-F432-G432</f>
        <v>190500</v>
      </c>
      <c r="I432" s="11" t="n">
        <f aca="false">'Tax Tables'!$B$22*(MAX(H432,0)-IF(Calculator!$B$10="Yes",MIN(MAX(H432,0),'Tax Tables'!$B$27)*'Tax Tables'!$B$28+MIN(MAX(MAX(H432,0)-'Tax Tables'!$B$27,0),'Tax Tables'!$B$29)*'Tax Tables'!$B$30,MIN(MAX(H432,0),'Tax Tables'!$B$23)*'Tax Tables'!$B$24+MIN(MAX(MAX(H432,0)-'Tax Tables'!$B$23,0),'Tax Tables'!$B$25)*'Tax Tables'!$B$26))*1-MIN('Tax Tables'!$B$22*(MAX(H432,0)-IF(Calculator!$B$10="Yes",MIN(MAX(H432,0),'Tax Tables'!$B$27)*'Tax Tables'!$B$28+MIN(MAX(MAX(H432,0)-'Tax Tables'!$B$27,0),'Tax Tables'!$B$29)*'Tax Tables'!$B$30,MIN(MAX(H432,0),'Tax Tables'!$B$23)*'Tax Tables'!$B$24+MIN(MAX(MAX(H432,0)-'Tax Tables'!$B$23,0),'Tax Tables'!$B$25)*'Tax Tables'!$B$26))*Calculator!$B$11,Calculator!$B$12)</f>
        <v>15767.5</v>
      </c>
      <c r="J432" s="11" t="n">
        <f aca="false">MAX(H432,0)-I432</f>
        <v>174732.5</v>
      </c>
      <c r="K432" s="11" t="n">
        <f aca="false">MIN(IF(A432&gt;0,Calculator!$B$13,0)+E432+Calculator!$B$14,'Tax Tables'!$B$36)</f>
        <v>1000</v>
      </c>
      <c r="L432" s="11" t="n">
        <f aca="false">MAX(A432-K432,0)</f>
        <v>208500</v>
      </c>
      <c r="M432" s="11" t="n">
        <f aca="false">SUMPRODUCT((L432&gt;'Tax Tables'!$A$5:$A$17)*(L432-'Tax Tables'!$A$5:$A$17)*'Tax Tables'!$C$5:$C$17)</f>
        <v>22765</v>
      </c>
      <c r="N432" s="11" t="n">
        <f aca="false">IF(H432&lt;0,-1E+099,A432-E432-M432+J432+(E432+F432)*Calculator!$B$9)</f>
        <v>361467.5</v>
      </c>
      <c r="O432" s="2"/>
      <c r="P432" s="11" t="n">
        <f aca="false">419*$B$3</f>
        <v>209500</v>
      </c>
      <c r="Q432" s="11" t="n">
        <f aca="false">MIN(P432,'Tax Tables'!$B$31*'Tax Tables'!$B$32)</f>
        <v>96000</v>
      </c>
      <c r="R432" s="11" t="n">
        <f aca="false">P432-Q432</f>
        <v>113500</v>
      </c>
      <c r="S432" s="11" t="n">
        <f aca="false">IF(Calculator!$B$6="Yes",MIN(Q432,'Tax Tables'!$B$31*'Tax Tables'!$B$32),0)</f>
        <v>96000</v>
      </c>
      <c r="T432" s="11" t="n">
        <f aca="false">S432*Calculator!$B$7</f>
        <v>19200</v>
      </c>
      <c r="U432" s="11" t="n">
        <f aca="false">S432*Calculator!$B$8</f>
        <v>16320</v>
      </c>
      <c r="V432" s="11" t="n">
        <f aca="false">IF(Q432&gt;0,'Tax Tables'!$B$32*MIN(MAX(Q432/'Tax Tables'!$B$32*'Tax Tables'!$B$33,'Tax Tables'!$B$34),'Tax Tables'!$B$35),0)</f>
        <v>135</v>
      </c>
      <c r="W432" s="11" t="n">
        <f aca="false">Calculator!$B$5-P432-U432-V432</f>
        <v>174045</v>
      </c>
      <c r="X432" s="11" t="n">
        <f aca="false">'Tax Tables'!$B$22*(MAX(W432,0)-IF(Calculator!$B$10="Yes",MIN(MAX(W432,0),'Tax Tables'!$B$27)*'Tax Tables'!$B$28+MIN(MAX(MAX(W432,0)-'Tax Tables'!$B$27,0),'Tax Tables'!$B$29)*'Tax Tables'!$B$30,MIN(MAX(W432,0),'Tax Tables'!$B$23)*'Tax Tables'!$B$24+MIN(MAX(MAX(W432,0)-'Tax Tables'!$B$23,0),'Tax Tables'!$B$25)*'Tax Tables'!$B$26))*1-MIN('Tax Tables'!$B$22*(MAX(W432,0)-IF(Calculator!$B$10="Yes",MIN(MAX(W432,0),'Tax Tables'!$B$27)*'Tax Tables'!$B$28+MIN(MAX(MAX(W432,0)-'Tax Tables'!$B$27,0),'Tax Tables'!$B$29)*'Tax Tables'!$B$30,MIN(MAX(W432,0),'Tax Tables'!$B$23)*'Tax Tables'!$B$24+MIN(MAX(MAX(W432,0)-'Tax Tables'!$B$23,0),'Tax Tables'!$B$25)*'Tax Tables'!$B$26))*Calculator!$B$11,Calculator!$B$12)</f>
        <v>14368.825</v>
      </c>
      <c r="Y432" s="11" t="n">
        <f aca="false">MAX(W432,0)-X432</f>
        <v>159676.175</v>
      </c>
      <c r="Z432" s="11" t="n">
        <f aca="false">MIN(IF(P432&gt;0,Calculator!$B$13,0)+T432+Calculator!$B$14,'Tax Tables'!$B$36)</f>
        <v>20200</v>
      </c>
      <c r="AA432" s="11" t="n">
        <f aca="false">MAX(P432-Z432,0)</f>
        <v>189300</v>
      </c>
      <c r="AB432" s="11" t="n">
        <f aca="false">SUMPRODUCT((AA432&gt;'Tax Tables'!$A$5:$A$17)*(AA432-'Tax Tables'!$A$5:$A$17)*'Tax Tables'!$C$5:$C$17)</f>
        <v>19224</v>
      </c>
      <c r="AC432" s="11" t="n">
        <f aca="false">IF(W432&lt;0,-1E+099,P432-T432-AB432+Y432+(T432+U432)*Calculator!$B$9)</f>
        <v>366272.175</v>
      </c>
    </row>
    <row r="433" customFormat="false" ht="15" hidden="false" customHeight="false" outlineLevel="0" collapsed="false">
      <c r="A433" s="11" t="n">
        <f aca="false">420*$B$3</f>
        <v>210000</v>
      </c>
      <c r="B433" s="11" t="n">
        <f aca="false">0</f>
        <v>0</v>
      </c>
      <c r="C433" s="11" t="n">
        <f aca="false">A433-B433</f>
        <v>210000</v>
      </c>
      <c r="D433" s="11" t="n">
        <f aca="false">IF(Calculator!$B$6="Yes",MIN(B433,'Tax Tables'!$B$31*'Tax Tables'!$B$32),0)</f>
        <v>0</v>
      </c>
      <c r="E433" s="11" t="n">
        <f aca="false">D433*Calculator!$B$7</f>
        <v>0</v>
      </c>
      <c r="F433" s="11" t="n">
        <f aca="false">D433*Calculator!$B$8</f>
        <v>0</v>
      </c>
      <c r="G433" s="11" t="n">
        <f aca="false">IF(B433&gt;0,'Tax Tables'!$B$32*MIN(MAX(B433/'Tax Tables'!$B$32*'Tax Tables'!$B$33,'Tax Tables'!$B$34),'Tax Tables'!$B$35),0)</f>
        <v>0</v>
      </c>
      <c r="H433" s="11" t="n">
        <f aca="false">Calculator!$B$5-A433-F433-G433</f>
        <v>190000</v>
      </c>
      <c r="I433" s="11" t="n">
        <f aca="false">'Tax Tables'!$B$22*(MAX(H433,0)-IF(Calculator!$B$10="Yes",MIN(MAX(H433,0),'Tax Tables'!$B$27)*'Tax Tables'!$B$28+MIN(MAX(MAX(H433,0)-'Tax Tables'!$B$27,0),'Tax Tables'!$B$29)*'Tax Tables'!$B$30,MIN(MAX(H433,0),'Tax Tables'!$B$23)*'Tax Tables'!$B$24+MIN(MAX(MAX(H433,0)-'Tax Tables'!$B$23,0),'Tax Tables'!$B$25)*'Tax Tables'!$B$26))*1-MIN('Tax Tables'!$B$22*(MAX(H433,0)-IF(Calculator!$B$10="Yes",MIN(MAX(H433,0),'Tax Tables'!$B$27)*'Tax Tables'!$B$28+MIN(MAX(MAX(H433,0)-'Tax Tables'!$B$27,0),'Tax Tables'!$B$29)*'Tax Tables'!$B$30,MIN(MAX(H433,0),'Tax Tables'!$B$23)*'Tax Tables'!$B$24+MIN(MAX(MAX(H433,0)-'Tax Tables'!$B$23,0),'Tax Tables'!$B$25)*'Tax Tables'!$B$26))*Calculator!$B$11,Calculator!$B$12)</f>
        <v>15725</v>
      </c>
      <c r="J433" s="11" t="n">
        <f aca="false">MAX(H433,0)-I433</f>
        <v>174275</v>
      </c>
      <c r="K433" s="11" t="n">
        <f aca="false">MIN(IF(A433&gt;0,Calculator!$B$13,0)+E433+Calculator!$B$14,'Tax Tables'!$B$36)</f>
        <v>1000</v>
      </c>
      <c r="L433" s="11" t="n">
        <f aca="false">MAX(A433-K433,0)</f>
        <v>209000</v>
      </c>
      <c r="M433" s="11" t="n">
        <f aca="false">SUMPRODUCT((L433&gt;'Tax Tables'!$A$5:$A$17)*(L433-'Tax Tables'!$A$5:$A$17)*'Tax Tables'!$C$5:$C$17)</f>
        <v>22860</v>
      </c>
      <c r="N433" s="11" t="n">
        <f aca="false">IF(H433&lt;0,-1E+099,A433-E433-M433+J433+(E433+F433)*Calculator!$B$9)</f>
        <v>361415</v>
      </c>
      <c r="O433" s="2"/>
      <c r="P433" s="11" t="n">
        <f aca="false">420*$B$3</f>
        <v>210000</v>
      </c>
      <c r="Q433" s="11" t="n">
        <f aca="false">MIN(P433,'Tax Tables'!$B$31*'Tax Tables'!$B$32)</f>
        <v>96000</v>
      </c>
      <c r="R433" s="11" t="n">
        <f aca="false">P433-Q433</f>
        <v>114000</v>
      </c>
      <c r="S433" s="11" t="n">
        <f aca="false">IF(Calculator!$B$6="Yes",MIN(Q433,'Tax Tables'!$B$31*'Tax Tables'!$B$32),0)</f>
        <v>96000</v>
      </c>
      <c r="T433" s="11" t="n">
        <f aca="false">S433*Calculator!$B$7</f>
        <v>19200</v>
      </c>
      <c r="U433" s="11" t="n">
        <f aca="false">S433*Calculator!$B$8</f>
        <v>16320</v>
      </c>
      <c r="V433" s="11" t="n">
        <f aca="false">IF(Q433&gt;0,'Tax Tables'!$B$32*MIN(MAX(Q433/'Tax Tables'!$B$32*'Tax Tables'!$B$33,'Tax Tables'!$B$34),'Tax Tables'!$B$35),0)</f>
        <v>135</v>
      </c>
      <c r="W433" s="11" t="n">
        <f aca="false">Calculator!$B$5-P433-U433-V433</f>
        <v>173545</v>
      </c>
      <c r="X433" s="11" t="n">
        <f aca="false">'Tax Tables'!$B$22*(MAX(W433,0)-IF(Calculator!$B$10="Yes",MIN(MAX(W433,0),'Tax Tables'!$B$27)*'Tax Tables'!$B$28+MIN(MAX(MAX(W433,0)-'Tax Tables'!$B$27,0),'Tax Tables'!$B$29)*'Tax Tables'!$B$30,MIN(MAX(W433,0),'Tax Tables'!$B$23)*'Tax Tables'!$B$24+MIN(MAX(MAX(W433,0)-'Tax Tables'!$B$23,0),'Tax Tables'!$B$25)*'Tax Tables'!$B$26))*1-MIN('Tax Tables'!$B$22*(MAX(W433,0)-IF(Calculator!$B$10="Yes",MIN(MAX(W433,0),'Tax Tables'!$B$27)*'Tax Tables'!$B$28+MIN(MAX(MAX(W433,0)-'Tax Tables'!$B$27,0),'Tax Tables'!$B$29)*'Tax Tables'!$B$30,MIN(MAX(W433,0),'Tax Tables'!$B$23)*'Tax Tables'!$B$24+MIN(MAX(MAX(W433,0)-'Tax Tables'!$B$23,0),'Tax Tables'!$B$25)*'Tax Tables'!$B$26))*Calculator!$B$11,Calculator!$B$12)</f>
        <v>14326.325</v>
      </c>
      <c r="Y433" s="11" t="n">
        <f aca="false">MAX(W433,0)-X433</f>
        <v>159218.675</v>
      </c>
      <c r="Z433" s="11" t="n">
        <f aca="false">MIN(IF(P433&gt;0,Calculator!$B$13,0)+T433+Calculator!$B$14,'Tax Tables'!$B$36)</f>
        <v>20200</v>
      </c>
      <c r="AA433" s="11" t="n">
        <f aca="false">MAX(P433-Z433,0)</f>
        <v>189800</v>
      </c>
      <c r="AB433" s="11" t="n">
        <f aca="false">SUMPRODUCT((AA433&gt;'Tax Tables'!$A$5:$A$17)*(AA433-'Tax Tables'!$A$5:$A$17)*'Tax Tables'!$C$5:$C$17)</f>
        <v>19314</v>
      </c>
      <c r="AC433" s="11" t="n">
        <f aca="false">IF(W433&lt;0,-1E+099,P433-T433-AB433+Y433+(T433+U433)*Calculator!$B$9)</f>
        <v>366224.675</v>
      </c>
    </row>
    <row r="434" customFormat="false" ht="15" hidden="false" customHeight="false" outlineLevel="0" collapsed="false">
      <c r="A434" s="11" t="n">
        <f aca="false">421*$B$3</f>
        <v>210500</v>
      </c>
      <c r="B434" s="11" t="n">
        <f aca="false">0</f>
        <v>0</v>
      </c>
      <c r="C434" s="11" t="n">
        <f aca="false">A434-B434</f>
        <v>210500</v>
      </c>
      <c r="D434" s="11" t="n">
        <f aca="false">IF(Calculator!$B$6="Yes",MIN(B434,'Tax Tables'!$B$31*'Tax Tables'!$B$32),0)</f>
        <v>0</v>
      </c>
      <c r="E434" s="11" t="n">
        <f aca="false">D434*Calculator!$B$7</f>
        <v>0</v>
      </c>
      <c r="F434" s="11" t="n">
        <f aca="false">D434*Calculator!$B$8</f>
        <v>0</v>
      </c>
      <c r="G434" s="11" t="n">
        <f aca="false">IF(B434&gt;0,'Tax Tables'!$B$32*MIN(MAX(B434/'Tax Tables'!$B$32*'Tax Tables'!$B$33,'Tax Tables'!$B$34),'Tax Tables'!$B$35),0)</f>
        <v>0</v>
      </c>
      <c r="H434" s="11" t="n">
        <f aca="false">Calculator!$B$5-A434-F434-G434</f>
        <v>189500</v>
      </c>
      <c r="I434" s="11" t="n">
        <f aca="false">'Tax Tables'!$B$22*(MAX(H434,0)-IF(Calculator!$B$10="Yes",MIN(MAX(H434,0),'Tax Tables'!$B$27)*'Tax Tables'!$B$28+MIN(MAX(MAX(H434,0)-'Tax Tables'!$B$27,0),'Tax Tables'!$B$29)*'Tax Tables'!$B$30,MIN(MAX(H434,0),'Tax Tables'!$B$23)*'Tax Tables'!$B$24+MIN(MAX(MAX(H434,0)-'Tax Tables'!$B$23,0),'Tax Tables'!$B$25)*'Tax Tables'!$B$26))*1-MIN('Tax Tables'!$B$22*(MAX(H434,0)-IF(Calculator!$B$10="Yes",MIN(MAX(H434,0),'Tax Tables'!$B$27)*'Tax Tables'!$B$28+MIN(MAX(MAX(H434,0)-'Tax Tables'!$B$27,0),'Tax Tables'!$B$29)*'Tax Tables'!$B$30,MIN(MAX(H434,0),'Tax Tables'!$B$23)*'Tax Tables'!$B$24+MIN(MAX(MAX(H434,0)-'Tax Tables'!$B$23,0),'Tax Tables'!$B$25)*'Tax Tables'!$B$26))*Calculator!$B$11,Calculator!$B$12)</f>
        <v>15682.5</v>
      </c>
      <c r="J434" s="11" t="n">
        <f aca="false">MAX(H434,0)-I434</f>
        <v>173817.5</v>
      </c>
      <c r="K434" s="11" t="n">
        <f aca="false">MIN(IF(A434&gt;0,Calculator!$B$13,0)+E434+Calculator!$B$14,'Tax Tables'!$B$36)</f>
        <v>1000</v>
      </c>
      <c r="L434" s="11" t="n">
        <f aca="false">MAX(A434-K434,0)</f>
        <v>209500</v>
      </c>
      <c r="M434" s="11" t="n">
        <f aca="false">SUMPRODUCT((L434&gt;'Tax Tables'!$A$5:$A$17)*(L434-'Tax Tables'!$A$5:$A$17)*'Tax Tables'!$C$5:$C$17)</f>
        <v>22955</v>
      </c>
      <c r="N434" s="11" t="n">
        <f aca="false">IF(H434&lt;0,-1E+099,A434-E434-M434+J434+(E434+F434)*Calculator!$B$9)</f>
        <v>361362.5</v>
      </c>
      <c r="O434" s="2"/>
      <c r="P434" s="11" t="n">
        <f aca="false">421*$B$3</f>
        <v>210500</v>
      </c>
      <c r="Q434" s="11" t="n">
        <f aca="false">MIN(P434,'Tax Tables'!$B$31*'Tax Tables'!$B$32)</f>
        <v>96000</v>
      </c>
      <c r="R434" s="11" t="n">
        <f aca="false">P434-Q434</f>
        <v>114500</v>
      </c>
      <c r="S434" s="11" t="n">
        <f aca="false">IF(Calculator!$B$6="Yes",MIN(Q434,'Tax Tables'!$B$31*'Tax Tables'!$B$32),0)</f>
        <v>96000</v>
      </c>
      <c r="T434" s="11" t="n">
        <f aca="false">S434*Calculator!$B$7</f>
        <v>19200</v>
      </c>
      <c r="U434" s="11" t="n">
        <f aca="false">S434*Calculator!$B$8</f>
        <v>16320</v>
      </c>
      <c r="V434" s="11" t="n">
        <f aca="false">IF(Q434&gt;0,'Tax Tables'!$B$32*MIN(MAX(Q434/'Tax Tables'!$B$32*'Tax Tables'!$B$33,'Tax Tables'!$B$34),'Tax Tables'!$B$35),0)</f>
        <v>135</v>
      </c>
      <c r="W434" s="11" t="n">
        <f aca="false">Calculator!$B$5-P434-U434-V434</f>
        <v>173045</v>
      </c>
      <c r="X434" s="11" t="n">
        <f aca="false">'Tax Tables'!$B$22*(MAX(W434,0)-IF(Calculator!$B$10="Yes",MIN(MAX(W434,0),'Tax Tables'!$B$27)*'Tax Tables'!$B$28+MIN(MAX(MAX(W434,0)-'Tax Tables'!$B$27,0),'Tax Tables'!$B$29)*'Tax Tables'!$B$30,MIN(MAX(W434,0),'Tax Tables'!$B$23)*'Tax Tables'!$B$24+MIN(MAX(MAX(W434,0)-'Tax Tables'!$B$23,0),'Tax Tables'!$B$25)*'Tax Tables'!$B$26))*1-MIN('Tax Tables'!$B$22*(MAX(W434,0)-IF(Calculator!$B$10="Yes",MIN(MAX(W434,0),'Tax Tables'!$B$27)*'Tax Tables'!$B$28+MIN(MAX(MAX(W434,0)-'Tax Tables'!$B$27,0),'Tax Tables'!$B$29)*'Tax Tables'!$B$30,MIN(MAX(W434,0),'Tax Tables'!$B$23)*'Tax Tables'!$B$24+MIN(MAX(MAX(W434,0)-'Tax Tables'!$B$23,0),'Tax Tables'!$B$25)*'Tax Tables'!$B$26))*Calculator!$B$11,Calculator!$B$12)</f>
        <v>14283.825</v>
      </c>
      <c r="Y434" s="11" t="n">
        <f aca="false">MAX(W434,0)-X434</f>
        <v>158761.175</v>
      </c>
      <c r="Z434" s="11" t="n">
        <f aca="false">MIN(IF(P434&gt;0,Calculator!$B$13,0)+T434+Calculator!$B$14,'Tax Tables'!$B$36)</f>
        <v>20200</v>
      </c>
      <c r="AA434" s="11" t="n">
        <f aca="false">MAX(P434-Z434,0)</f>
        <v>190300</v>
      </c>
      <c r="AB434" s="11" t="n">
        <f aca="false">SUMPRODUCT((AA434&gt;'Tax Tables'!$A$5:$A$17)*(AA434-'Tax Tables'!$A$5:$A$17)*'Tax Tables'!$C$5:$C$17)</f>
        <v>19404</v>
      </c>
      <c r="AC434" s="11" t="n">
        <f aca="false">IF(W434&lt;0,-1E+099,P434-T434-AB434+Y434+(T434+U434)*Calculator!$B$9)</f>
        <v>366177.175</v>
      </c>
    </row>
    <row r="435" customFormat="false" ht="15" hidden="false" customHeight="false" outlineLevel="0" collapsed="false">
      <c r="A435" s="11" t="n">
        <f aca="false">422*$B$3</f>
        <v>211000</v>
      </c>
      <c r="B435" s="11" t="n">
        <f aca="false">0</f>
        <v>0</v>
      </c>
      <c r="C435" s="11" t="n">
        <f aca="false">A435-B435</f>
        <v>211000</v>
      </c>
      <c r="D435" s="11" t="n">
        <f aca="false">IF(Calculator!$B$6="Yes",MIN(B435,'Tax Tables'!$B$31*'Tax Tables'!$B$32),0)</f>
        <v>0</v>
      </c>
      <c r="E435" s="11" t="n">
        <f aca="false">D435*Calculator!$B$7</f>
        <v>0</v>
      </c>
      <c r="F435" s="11" t="n">
        <f aca="false">D435*Calculator!$B$8</f>
        <v>0</v>
      </c>
      <c r="G435" s="11" t="n">
        <f aca="false">IF(B435&gt;0,'Tax Tables'!$B$32*MIN(MAX(B435/'Tax Tables'!$B$32*'Tax Tables'!$B$33,'Tax Tables'!$B$34),'Tax Tables'!$B$35),0)</f>
        <v>0</v>
      </c>
      <c r="H435" s="11" t="n">
        <f aca="false">Calculator!$B$5-A435-F435-G435</f>
        <v>189000</v>
      </c>
      <c r="I435" s="11" t="n">
        <f aca="false">'Tax Tables'!$B$22*(MAX(H435,0)-IF(Calculator!$B$10="Yes",MIN(MAX(H435,0),'Tax Tables'!$B$27)*'Tax Tables'!$B$28+MIN(MAX(MAX(H435,0)-'Tax Tables'!$B$27,0),'Tax Tables'!$B$29)*'Tax Tables'!$B$30,MIN(MAX(H435,0),'Tax Tables'!$B$23)*'Tax Tables'!$B$24+MIN(MAX(MAX(H435,0)-'Tax Tables'!$B$23,0),'Tax Tables'!$B$25)*'Tax Tables'!$B$26))*1-MIN('Tax Tables'!$B$22*(MAX(H435,0)-IF(Calculator!$B$10="Yes",MIN(MAX(H435,0),'Tax Tables'!$B$27)*'Tax Tables'!$B$28+MIN(MAX(MAX(H435,0)-'Tax Tables'!$B$27,0),'Tax Tables'!$B$29)*'Tax Tables'!$B$30,MIN(MAX(H435,0),'Tax Tables'!$B$23)*'Tax Tables'!$B$24+MIN(MAX(MAX(H435,0)-'Tax Tables'!$B$23,0),'Tax Tables'!$B$25)*'Tax Tables'!$B$26))*Calculator!$B$11,Calculator!$B$12)</f>
        <v>15640</v>
      </c>
      <c r="J435" s="11" t="n">
        <f aca="false">MAX(H435,0)-I435</f>
        <v>173360</v>
      </c>
      <c r="K435" s="11" t="n">
        <f aca="false">MIN(IF(A435&gt;0,Calculator!$B$13,0)+E435+Calculator!$B$14,'Tax Tables'!$B$36)</f>
        <v>1000</v>
      </c>
      <c r="L435" s="11" t="n">
        <f aca="false">MAX(A435-K435,0)</f>
        <v>210000</v>
      </c>
      <c r="M435" s="11" t="n">
        <f aca="false">SUMPRODUCT((L435&gt;'Tax Tables'!$A$5:$A$17)*(L435-'Tax Tables'!$A$5:$A$17)*'Tax Tables'!$C$5:$C$17)</f>
        <v>23050</v>
      </c>
      <c r="N435" s="11" t="n">
        <f aca="false">IF(H435&lt;0,-1E+099,A435-E435-M435+J435+(E435+F435)*Calculator!$B$9)</f>
        <v>361310</v>
      </c>
      <c r="O435" s="2"/>
      <c r="P435" s="11" t="n">
        <f aca="false">422*$B$3</f>
        <v>211000</v>
      </c>
      <c r="Q435" s="11" t="n">
        <f aca="false">MIN(P435,'Tax Tables'!$B$31*'Tax Tables'!$B$32)</f>
        <v>96000</v>
      </c>
      <c r="R435" s="11" t="n">
        <f aca="false">P435-Q435</f>
        <v>115000</v>
      </c>
      <c r="S435" s="11" t="n">
        <f aca="false">IF(Calculator!$B$6="Yes",MIN(Q435,'Tax Tables'!$B$31*'Tax Tables'!$B$32),0)</f>
        <v>96000</v>
      </c>
      <c r="T435" s="11" t="n">
        <f aca="false">S435*Calculator!$B$7</f>
        <v>19200</v>
      </c>
      <c r="U435" s="11" t="n">
        <f aca="false">S435*Calculator!$B$8</f>
        <v>16320</v>
      </c>
      <c r="V435" s="11" t="n">
        <f aca="false">IF(Q435&gt;0,'Tax Tables'!$B$32*MIN(MAX(Q435/'Tax Tables'!$B$32*'Tax Tables'!$B$33,'Tax Tables'!$B$34),'Tax Tables'!$B$35),0)</f>
        <v>135</v>
      </c>
      <c r="W435" s="11" t="n">
        <f aca="false">Calculator!$B$5-P435-U435-V435</f>
        <v>172545</v>
      </c>
      <c r="X435" s="11" t="n">
        <f aca="false">'Tax Tables'!$B$22*(MAX(W435,0)-IF(Calculator!$B$10="Yes",MIN(MAX(W435,0),'Tax Tables'!$B$27)*'Tax Tables'!$B$28+MIN(MAX(MAX(W435,0)-'Tax Tables'!$B$27,0),'Tax Tables'!$B$29)*'Tax Tables'!$B$30,MIN(MAX(W435,0),'Tax Tables'!$B$23)*'Tax Tables'!$B$24+MIN(MAX(MAX(W435,0)-'Tax Tables'!$B$23,0),'Tax Tables'!$B$25)*'Tax Tables'!$B$26))*1-MIN('Tax Tables'!$B$22*(MAX(W435,0)-IF(Calculator!$B$10="Yes",MIN(MAX(W435,0),'Tax Tables'!$B$27)*'Tax Tables'!$B$28+MIN(MAX(MAX(W435,0)-'Tax Tables'!$B$27,0),'Tax Tables'!$B$29)*'Tax Tables'!$B$30,MIN(MAX(W435,0),'Tax Tables'!$B$23)*'Tax Tables'!$B$24+MIN(MAX(MAX(W435,0)-'Tax Tables'!$B$23,0),'Tax Tables'!$B$25)*'Tax Tables'!$B$26))*Calculator!$B$11,Calculator!$B$12)</f>
        <v>14241.325</v>
      </c>
      <c r="Y435" s="11" t="n">
        <f aca="false">MAX(W435,0)-X435</f>
        <v>158303.675</v>
      </c>
      <c r="Z435" s="11" t="n">
        <f aca="false">MIN(IF(P435&gt;0,Calculator!$B$13,0)+T435+Calculator!$B$14,'Tax Tables'!$B$36)</f>
        <v>20200</v>
      </c>
      <c r="AA435" s="11" t="n">
        <f aca="false">MAX(P435-Z435,0)</f>
        <v>190800</v>
      </c>
      <c r="AB435" s="11" t="n">
        <f aca="false">SUMPRODUCT((AA435&gt;'Tax Tables'!$A$5:$A$17)*(AA435-'Tax Tables'!$A$5:$A$17)*'Tax Tables'!$C$5:$C$17)</f>
        <v>19494</v>
      </c>
      <c r="AC435" s="11" t="n">
        <f aca="false">IF(W435&lt;0,-1E+099,P435-T435-AB435+Y435+(T435+U435)*Calculator!$B$9)</f>
        <v>366129.675</v>
      </c>
    </row>
    <row r="436" customFormat="false" ht="15" hidden="false" customHeight="false" outlineLevel="0" collapsed="false">
      <c r="A436" s="11" t="n">
        <f aca="false">423*$B$3</f>
        <v>211500</v>
      </c>
      <c r="B436" s="11" t="n">
        <f aca="false">0</f>
        <v>0</v>
      </c>
      <c r="C436" s="11" t="n">
        <f aca="false">A436-B436</f>
        <v>211500</v>
      </c>
      <c r="D436" s="11" t="n">
        <f aca="false">IF(Calculator!$B$6="Yes",MIN(B436,'Tax Tables'!$B$31*'Tax Tables'!$B$32),0)</f>
        <v>0</v>
      </c>
      <c r="E436" s="11" t="n">
        <f aca="false">D436*Calculator!$B$7</f>
        <v>0</v>
      </c>
      <c r="F436" s="11" t="n">
        <f aca="false">D436*Calculator!$B$8</f>
        <v>0</v>
      </c>
      <c r="G436" s="11" t="n">
        <f aca="false">IF(B436&gt;0,'Tax Tables'!$B$32*MIN(MAX(B436/'Tax Tables'!$B$32*'Tax Tables'!$B$33,'Tax Tables'!$B$34),'Tax Tables'!$B$35),0)</f>
        <v>0</v>
      </c>
      <c r="H436" s="11" t="n">
        <f aca="false">Calculator!$B$5-A436-F436-G436</f>
        <v>188500</v>
      </c>
      <c r="I436" s="11" t="n">
        <f aca="false">'Tax Tables'!$B$22*(MAX(H436,0)-IF(Calculator!$B$10="Yes",MIN(MAX(H436,0),'Tax Tables'!$B$27)*'Tax Tables'!$B$28+MIN(MAX(MAX(H436,0)-'Tax Tables'!$B$27,0),'Tax Tables'!$B$29)*'Tax Tables'!$B$30,MIN(MAX(H436,0),'Tax Tables'!$B$23)*'Tax Tables'!$B$24+MIN(MAX(MAX(H436,0)-'Tax Tables'!$B$23,0),'Tax Tables'!$B$25)*'Tax Tables'!$B$26))*1-MIN('Tax Tables'!$B$22*(MAX(H436,0)-IF(Calculator!$B$10="Yes",MIN(MAX(H436,0),'Tax Tables'!$B$27)*'Tax Tables'!$B$28+MIN(MAX(MAX(H436,0)-'Tax Tables'!$B$27,0),'Tax Tables'!$B$29)*'Tax Tables'!$B$30,MIN(MAX(H436,0),'Tax Tables'!$B$23)*'Tax Tables'!$B$24+MIN(MAX(MAX(H436,0)-'Tax Tables'!$B$23,0),'Tax Tables'!$B$25)*'Tax Tables'!$B$26))*Calculator!$B$11,Calculator!$B$12)</f>
        <v>15597.5</v>
      </c>
      <c r="J436" s="11" t="n">
        <f aca="false">MAX(H436,0)-I436</f>
        <v>172902.5</v>
      </c>
      <c r="K436" s="11" t="n">
        <f aca="false">MIN(IF(A436&gt;0,Calculator!$B$13,0)+E436+Calculator!$B$14,'Tax Tables'!$B$36)</f>
        <v>1000</v>
      </c>
      <c r="L436" s="11" t="n">
        <f aca="false">MAX(A436-K436,0)</f>
        <v>210500</v>
      </c>
      <c r="M436" s="11" t="n">
        <f aca="false">SUMPRODUCT((L436&gt;'Tax Tables'!$A$5:$A$17)*(L436-'Tax Tables'!$A$5:$A$17)*'Tax Tables'!$C$5:$C$17)</f>
        <v>23145</v>
      </c>
      <c r="N436" s="11" t="n">
        <f aca="false">IF(H436&lt;0,-1E+099,A436-E436-M436+J436+(E436+F436)*Calculator!$B$9)</f>
        <v>361257.5</v>
      </c>
      <c r="O436" s="2"/>
      <c r="P436" s="11" t="n">
        <f aca="false">423*$B$3</f>
        <v>211500</v>
      </c>
      <c r="Q436" s="11" t="n">
        <f aca="false">MIN(P436,'Tax Tables'!$B$31*'Tax Tables'!$B$32)</f>
        <v>96000</v>
      </c>
      <c r="R436" s="11" t="n">
        <f aca="false">P436-Q436</f>
        <v>115500</v>
      </c>
      <c r="S436" s="11" t="n">
        <f aca="false">IF(Calculator!$B$6="Yes",MIN(Q436,'Tax Tables'!$B$31*'Tax Tables'!$B$32),0)</f>
        <v>96000</v>
      </c>
      <c r="T436" s="11" t="n">
        <f aca="false">S436*Calculator!$B$7</f>
        <v>19200</v>
      </c>
      <c r="U436" s="11" t="n">
        <f aca="false">S436*Calculator!$B$8</f>
        <v>16320</v>
      </c>
      <c r="V436" s="11" t="n">
        <f aca="false">IF(Q436&gt;0,'Tax Tables'!$B$32*MIN(MAX(Q436/'Tax Tables'!$B$32*'Tax Tables'!$B$33,'Tax Tables'!$B$34),'Tax Tables'!$B$35),0)</f>
        <v>135</v>
      </c>
      <c r="W436" s="11" t="n">
        <f aca="false">Calculator!$B$5-P436-U436-V436</f>
        <v>172045</v>
      </c>
      <c r="X436" s="11" t="n">
        <f aca="false">'Tax Tables'!$B$22*(MAX(W436,0)-IF(Calculator!$B$10="Yes",MIN(MAX(W436,0),'Tax Tables'!$B$27)*'Tax Tables'!$B$28+MIN(MAX(MAX(W436,0)-'Tax Tables'!$B$27,0),'Tax Tables'!$B$29)*'Tax Tables'!$B$30,MIN(MAX(W436,0),'Tax Tables'!$B$23)*'Tax Tables'!$B$24+MIN(MAX(MAX(W436,0)-'Tax Tables'!$B$23,0),'Tax Tables'!$B$25)*'Tax Tables'!$B$26))*1-MIN('Tax Tables'!$B$22*(MAX(W436,0)-IF(Calculator!$B$10="Yes",MIN(MAX(W436,0),'Tax Tables'!$B$27)*'Tax Tables'!$B$28+MIN(MAX(MAX(W436,0)-'Tax Tables'!$B$27,0),'Tax Tables'!$B$29)*'Tax Tables'!$B$30,MIN(MAX(W436,0),'Tax Tables'!$B$23)*'Tax Tables'!$B$24+MIN(MAX(MAX(W436,0)-'Tax Tables'!$B$23,0),'Tax Tables'!$B$25)*'Tax Tables'!$B$26))*Calculator!$B$11,Calculator!$B$12)</f>
        <v>14198.825</v>
      </c>
      <c r="Y436" s="11" t="n">
        <f aca="false">MAX(W436,0)-X436</f>
        <v>157846.175</v>
      </c>
      <c r="Z436" s="11" t="n">
        <f aca="false">MIN(IF(P436&gt;0,Calculator!$B$13,0)+T436+Calculator!$B$14,'Tax Tables'!$B$36)</f>
        <v>20200</v>
      </c>
      <c r="AA436" s="11" t="n">
        <f aca="false">MAX(P436-Z436,0)</f>
        <v>191300</v>
      </c>
      <c r="AB436" s="11" t="n">
        <f aca="false">SUMPRODUCT((AA436&gt;'Tax Tables'!$A$5:$A$17)*(AA436-'Tax Tables'!$A$5:$A$17)*'Tax Tables'!$C$5:$C$17)</f>
        <v>19584</v>
      </c>
      <c r="AC436" s="11" t="n">
        <f aca="false">IF(W436&lt;0,-1E+099,P436-T436-AB436+Y436+(T436+U436)*Calculator!$B$9)</f>
        <v>366082.175</v>
      </c>
    </row>
    <row r="437" customFormat="false" ht="15" hidden="false" customHeight="false" outlineLevel="0" collapsed="false">
      <c r="A437" s="11" t="n">
        <f aca="false">424*$B$3</f>
        <v>212000</v>
      </c>
      <c r="B437" s="11" t="n">
        <f aca="false">0</f>
        <v>0</v>
      </c>
      <c r="C437" s="11" t="n">
        <f aca="false">A437-B437</f>
        <v>212000</v>
      </c>
      <c r="D437" s="11" t="n">
        <f aca="false">IF(Calculator!$B$6="Yes",MIN(B437,'Tax Tables'!$B$31*'Tax Tables'!$B$32),0)</f>
        <v>0</v>
      </c>
      <c r="E437" s="11" t="n">
        <f aca="false">D437*Calculator!$B$7</f>
        <v>0</v>
      </c>
      <c r="F437" s="11" t="n">
        <f aca="false">D437*Calculator!$B$8</f>
        <v>0</v>
      </c>
      <c r="G437" s="11" t="n">
        <f aca="false">IF(B437&gt;0,'Tax Tables'!$B$32*MIN(MAX(B437/'Tax Tables'!$B$32*'Tax Tables'!$B$33,'Tax Tables'!$B$34),'Tax Tables'!$B$35),0)</f>
        <v>0</v>
      </c>
      <c r="H437" s="11" t="n">
        <f aca="false">Calculator!$B$5-A437-F437-G437</f>
        <v>188000</v>
      </c>
      <c r="I437" s="11" t="n">
        <f aca="false">'Tax Tables'!$B$22*(MAX(H437,0)-IF(Calculator!$B$10="Yes",MIN(MAX(H437,0),'Tax Tables'!$B$27)*'Tax Tables'!$B$28+MIN(MAX(MAX(H437,0)-'Tax Tables'!$B$27,0),'Tax Tables'!$B$29)*'Tax Tables'!$B$30,MIN(MAX(H437,0),'Tax Tables'!$B$23)*'Tax Tables'!$B$24+MIN(MAX(MAX(H437,0)-'Tax Tables'!$B$23,0),'Tax Tables'!$B$25)*'Tax Tables'!$B$26))*1-MIN('Tax Tables'!$B$22*(MAX(H437,0)-IF(Calculator!$B$10="Yes",MIN(MAX(H437,0),'Tax Tables'!$B$27)*'Tax Tables'!$B$28+MIN(MAX(MAX(H437,0)-'Tax Tables'!$B$27,0),'Tax Tables'!$B$29)*'Tax Tables'!$B$30,MIN(MAX(H437,0),'Tax Tables'!$B$23)*'Tax Tables'!$B$24+MIN(MAX(MAX(H437,0)-'Tax Tables'!$B$23,0),'Tax Tables'!$B$25)*'Tax Tables'!$B$26))*Calculator!$B$11,Calculator!$B$12)</f>
        <v>15555</v>
      </c>
      <c r="J437" s="11" t="n">
        <f aca="false">MAX(H437,0)-I437</f>
        <v>172445</v>
      </c>
      <c r="K437" s="11" t="n">
        <f aca="false">MIN(IF(A437&gt;0,Calculator!$B$13,0)+E437+Calculator!$B$14,'Tax Tables'!$B$36)</f>
        <v>1000</v>
      </c>
      <c r="L437" s="11" t="n">
        <f aca="false">MAX(A437-K437,0)</f>
        <v>211000</v>
      </c>
      <c r="M437" s="11" t="n">
        <f aca="false">SUMPRODUCT((L437&gt;'Tax Tables'!$A$5:$A$17)*(L437-'Tax Tables'!$A$5:$A$17)*'Tax Tables'!$C$5:$C$17)</f>
        <v>23240</v>
      </c>
      <c r="N437" s="11" t="n">
        <f aca="false">IF(H437&lt;0,-1E+099,A437-E437-M437+J437+(E437+F437)*Calculator!$B$9)</f>
        <v>361205</v>
      </c>
      <c r="O437" s="2"/>
      <c r="P437" s="11" t="n">
        <f aca="false">424*$B$3</f>
        <v>212000</v>
      </c>
      <c r="Q437" s="11" t="n">
        <f aca="false">MIN(P437,'Tax Tables'!$B$31*'Tax Tables'!$B$32)</f>
        <v>96000</v>
      </c>
      <c r="R437" s="11" t="n">
        <f aca="false">P437-Q437</f>
        <v>116000</v>
      </c>
      <c r="S437" s="11" t="n">
        <f aca="false">IF(Calculator!$B$6="Yes",MIN(Q437,'Tax Tables'!$B$31*'Tax Tables'!$B$32),0)</f>
        <v>96000</v>
      </c>
      <c r="T437" s="11" t="n">
        <f aca="false">S437*Calculator!$B$7</f>
        <v>19200</v>
      </c>
      <c r="U437" s="11" t="n">
        <f aca="false">S437*Calculator!$B$8</f>
        <v>16320</v>
      </c>
      <c r="V437" s="11" t="n">
        <f aca="false">IF(Q437&gt;0,'Tax Tables'!$B$32*MIN(MAX(Q437/'Tax Tables'!$B$32*'Tax Tables'!$B$33,'Tax Tables'!$B$34),'Tax Tables'!$B$35),0)</f>
        <v>135</v>
      </c>
      <c r="W437" s="11" t="n">
        <f aca="false">Calculator!$B$5-P437-U437-V437</f>
        <v>171545</v>
      </c>
      <c r="X437" s="11" t="n">
        <f aca="false">'Tax Tables'!$B$22*(MAX(W437,0)-IF(Calculator!$B$10="Yes",MIN(MAX(W437,0),'Tax Tables'!$B$27)*'Tax Tables'!$B$28+MIN(MAX(MAX(W437,0)-'Tax Tables'!$B$27,0),'Tax Tables'!$B$29)*'Tax Tables'!$B$30,MIN(MAX(W437,0),'Tax Tables'!$B$23)*'Tax Tables'!$B$24+MIN(MAX(MAX(W437,0)-'Tax Tables'!$B$23,0),'Tax Tables'!$B$25)*'Tax Tables'!$B$26))*1-MIN('Tax Tables'!$B$22*(MAX(W437,0)-IF(Calculator!$B$10="Yes",MIN(MAX(W437,0),'Tax Tables'!$B$27)*'Tax Tables'!$B$28+MIN(MAX(MAX(W437,0)-'Tax Tables'!$B$27,0),'Tax Tables'!$B$29)*'Tax Tables'!$B$30,MIN(MAX(W437,0),'Tax Tables'!$B$23)*'Tax Tables'!$B$24+MIN(MAX(MAX(W437,0)-'Tax Tables'!$B$23,0),'Tax Tables'!$B$25)*'Tax Tables'!$B$26))*Calculator!$B$11,Calculator!$B$12)</f>
        <v>14156.325</v>
      </c>
      <c r="Y437" s="11" t="n">
        <f aca="false">MAX(W437,0)-X437</f>
        <v>157388.675</v>
      </c>
      <c r="Z437" s="11" t="n">
        <f aca="false">MIN(IF(P437&gt;0,Calculator!$B$13,0)+T437+Calculator!$B$14,'Tax Tables'!$B$36)</f>
        <v>20200</v>
      </c>
      <c r="AA437" s="11" t="n">
        <f aca="false">MAX(P437-Z437,0)</f>
        <v>191800</v>
      </c>
      <c r="AB437" s="11" t="n">
        <f aca="false">SUMPRODUCT((AA437&gt;'Tax Tables'!$A$5:$A$17)*(AA437-'Tax Tables'!$A$5:$A$17)*'Tax Tables'!$C$5:$C$17)</f>
        <v>19674</v>
      </c>
      <c r="AC437" s="11" t="n">
        <f aca="false">IF(W437&lt;0,-1E+099,P437-T437-AB437+Y437+(T437+U437)*Calculator!$B$9)</f>
        <v>366034.675</v>
      </c>
    </row>
    <row r="438" customFormat="false" ht="15" hidden="false" customHeight="false" outlineLevel="0" collapsed="false">
      <c r="A438" s="11" t="n">
        <f aca="false">425*$B$3</f>
        <v>212500</v>
      </c>
      <c r="B438" s="11" t="n">
        <f aca="false">0</f>
        <v>0</v>
      </c>
      <c r="C438" s="11" t="n">
        <f aca="false">A438-B438</f>
        <v>212500</v>
      </c>
      <c r="D438" s="11" t="n">
        <f aca="false">IF(Calculator!$B$6="Yes",MIN(B438,'Tax Tables'!$B$31*'Tax Tables'!$B$32),0)</f>
        <v>0</v>
      </c>
      <c r="E438" s="11" t="n">
        <f aca="false">D438*Calculator!$B$7</f>
        <v>0</v>
      </c>
      <c r="F438" s="11" t="n">
        <f aca="false">D438*Calculator!$B$8</f>
        <v>0</v>
      </c>
      <c r="G438" s="11" t="n">
        <f aca="false">IF(B438&gt;0,'Tax Tables'!$B$32*MIN(MAX(B438/'Tax Tables'!$B$32*'Tax Tables'!$B$33,'Tax Tables'!$B$34),'Tax Tables'!$B$35),0)</f>
        <v>0</v>
      </c>
      <c r="H438" s="11" t="n">
        <f aca="false">Calculator!$B$5-A438-F438-G438</f>
        <v>187500</v>
      </c>
      <c r="I438" s="11" t="n">
        <f aca="false">'Tax Tables'!$B$22*(MAX(H438,0)-IF(Calculator!$B$10="Yes",MIN(MAX(H438,0),'Tax Tables'!$B$27)*'Tax Tables'!$B$28+MIN(MAX(MAX(H438,0)-'Tax Tables'!$B$27,0),'Tax Tables'!$B$29)*'Tax Tables'!$B$30,MIN(MAX(H438,0),'Tax Tables'!$B$23)*'Tax Tables'!$B$24+MIN(MAX(MAX(H438,0)-'Tax Tables'!$B$23,0),'Tax Tables'!$B$25)*'Tax Tables'!$B$26))*1-MIN('Tax Tables'!$B$22*(MAX(H438,0)-IF(Calculator!$B$10="Yes",MIN(MAX(H438,0),'Tax Tables'!$B$27)*'Tax Tables'!$B$28+MIN(MAX(MAX(H438,0)-'Tax Tables'!$B$27,0),'Tax Tables'!$B$29)*'Tax Tables'!$B$30,MIN(MAX(H438,0),'Tax Tables'!$B$23)*'Tax Tables'!$B$24+MIN(MAX(MAX(H438,0)-'Tax Tables'!$B$23,0),'Tax Tables'!$B$25)*'Tax Tables'!$B$26))*Calculator!$B$11,Calculator!$B$12)</f>
        <v>15512.5</v>
      </c>
      <c r="J438" s="11" t="n">
        <f aca="false">MAX(H438,0)-I438</f>
        <v>171987.5</v>
      </c>
      <c r="K438" s="11" t="n">
        <f aca="false">MIN(IF(A438&gt;0,Calculator!$B$13,0)+E438+Calculator!$B$14,'Tax Tables'!$B$36)</f>
        <v>1000</v>
      </c>
      <c r="L438" s="11" t="n">
        <f aca="false">MAX(A438-K438,0)</f>
        <v>211500</v>
      </c>
      <c r="M438" s="11" t="n">
        <f aca="false">SUMPRODUCT((L438&gt;'Tax Tables'!$A$5:$A$17)*(L438-'Tax Tables'!$A$5:$A$17)*'Tax Tables'!$C$5:$C$17)</f>
        <v>23335</v>
      </c>
      <c r="N438" s="11" t="n">
        <f aca="false">IF(H438&lt;0,-1E+099,A438-E438-M438+J438+(E438+F438)*Calculator!$B$9)</f>
        <v>361152.5</v>
      </c>
      <c r="O438" s="2"/>
      <c r="P438" s="11" t="n">
        <f aca="false">425*$B$3</f>
        <v>212500</v>
      </c>
      <c r="Q438" s="11" t="n">
        <f aca="false">MIN(P438,'Tax Tables'!$B$31*'Tax Tables'!$B$32)</f>
        <v>96000</v>
      </c>
      <c r="R438" s="11" t="n">
        <f aca="false">P438-Q438</f>
        <v>116500</v>
      </c>
      <c r="S438" s="11" t="n">
        <f aca="false">IF(Calculator!$B$6="Yes",MIN(Q438,'Tax Tables'!$B$31*'Tax Tables'!$B$32),0)</f>
        <v>96000</v>
      </c>
      <c r="T438" s="11" t="n">
        <f aca="false">S438*Calculator!$B$7</f>
        <v>19200</v>
      </c>
      <c r="U438" s="11" t="n">
        <f aca="false">S438*Calculator!$B$8</f>
        <v>16320</v>
      </c>
      <c r="V438" s="11" t="n">
        <f aca="false">IF(Q438&gt;0,'Tax Tables'!$B$32*MIN(MAX(Q438/'Tax Tables'!$B$32*'Tax Tables'!$B$33,'Tax Tables'!$B$34),'Tax Tables'!$B$35),0)</f>
        <v>135</v>
      </c>
      <c r="W438" s="11" t="n">
        <f aca="false">Calculator!$B$5-P438-U438-V438</f>
        <v>171045</v>
      </c>
      <c r="X438" s="11" t="n">
        <f aca="false">'Tax Tables'!$B$22*(MAX(W438,0)-IF(Calculator!$B$10="Yes",MIN(MAX(W438,0),'Tax Tables'!$B$27)*'Tax Tables'!$B$28+MIN(MAX(MAX(W438,0)-'Tax Tables'!$B$27,0),'Tax Tables'!$B$29)*'Tax Tables'!$B$30,MIN(MAX(W438,0),'Tax Tables'!$B$23)*'Tax Tables'!$B$24+MIN(MAX(MAX(W438,0)-'Tax Tables'!$B$23,0),'Tax Tables'!$B$25)*'Tax Tables'!$B$26))*1-MIN('Tax Tables'!$B$22*(MAX(W438,0)-IF(Calculator!$B$10="Yes",MIN(MAX(W438,0),'Tax Tables'!$B$27)*'Tax Tables'!$B$28+MIN(MAX(MAX(W438,0)-'Tax Tables'!$B$27,0),'Tax Tables'!$B$29)*'Tax Tables'!$B$30,MIN(MAX(W438,0),'Tax Tables'!$B$23)*'Tax Tables'!$B$24+MIN(MAX(MAX(W438,0)-'Tax Tables'!$B$23,0),'Tax Tables'!$B$25)*'Tax Tables'!$B$26))*Calculator!$B$11,Calculator!$B$12)</f>
        <v>14113.825</v>
      </c>
      <c r="Y438" s="11" t="n">
        <f aca="false">MAX(W438,0)-X438</f>
        <v>156931.175</v>
      </c>
      <c r="Z438" s="11" t="n">
        <f aca="false">MIN(IF(P438&gt;0,Calculator!$B$13,0)+T438+Calculator!$B$14,'Tax Tables'!$B$36)</f>
        <v>20200</v>
      </c>
      <c r="AA438" s="11" t="n">
        <f aca="false">MAX(P438-Z438,0)</f>
        <v>192300</v>
      </c>
      <c r="AB438" s="11" t="n">
        <f aca="false">SUMPRODUCT((AA438&gt;'Tax Tables'!$A$5:$A$17)*(AA438-'Tax Tables'!$A$5:$A$17)*'Tax Tables'!$C$5:$C$17)</f>
        <v>19764</v>
      </c>
      <c r="AC438" s="11" t="n">
        <f aca="false">IF(W438&lt;0,-1E+099,P438-T438-AB438+Y438+(T438+U438)*Calculator!$B$9)</f>
        <v>365987.175</v>
      </c>
    </row>
    <row r="439" customFormat="false" ht="15" hidden="false" customHeight="false" outlineLevel="0" collapsed="false">
      <c r="A439" s="11" t="n">
        <f aca="false">426*$B$3</f>
        <v>213000</v>
      </c>
      <c r="B439" s="11" t="n">
        <f aca="false">0</f>
        <v>0</v>
      </c>
      <c r="C439" s="11" t="n">
        <f aca="false">A439-B439</f>
        <v>213000</v>
      </c>
      <c r="D439" s="11" t="n">
        <f aca="false">IF(Calculator!$B$6="Yes",MIN(B439,'Tax Tables'!$B$31*'Tax Tables'!$B$32),0)</f>
        <v>0</v>
      </c>
      <c r="E439" s="11" t="n">
        <f aca="false">D439*Calculator!$B$7</f>
        <v>0</v>
      </c>
      <c r="F439" s="11" t="n">
        <f aca="false">D439*Calculator!$B$8</f>
        <v>0</v>
      </c>
      <c r="G439" s="11" t="n">
        <f aca="false">IF(B439&gt;0,'Tax Tables'!$B$32*MIN(MAX(B439/'Tax Tables'!$B$32*'Tax Tables'!$B$33,'Tax Tables'!$B$34),'Tax Tables'!$B$35),0)</f>
        <v>0</v>
      </c>
      <c r="H439" s="11" t="n">
        <f aca="false">Calculator!$B$5-A439-F439-G439</f>
        <v>187000</v>
      </c>
      <c r="I439" s="11" t="n">
        <f aca="false">'Tax Tables'!$B$22*(MAX(H439,0)-IF(Calculator!$B$10="Yes",MIN(MAX(H439,0),'Tax Tables'!$B$27)*'Tax Tables'!$B$28+MIN(MAX(MAX(H439,0)-'Tax Tables'!$B$27,0),'Tax Tables'!$B$29)*'Tax Tables'!$B$30,MIN(MAX(H439,0),'Tax Tables'!$B$23)*'Tax Tables'!$B$24+MIN(MAX(MAX(H439,0)-'Tax Tables'!$B$23,0),'Tax Tables'!$B$25)*'Tax Tables'!$B$26))*1-MIN('Tax Tables'!$B$22*(MAX(H439,0)-IF(Calculator!$B$10="Yes",MIN(MAX(H439,0),'Tax Tables'!$B$27)*'Tax Tables'!$B$28+MIN(MAX(MAX(H439,0)-'Tax Tables'!$B$27,0),'Tax Tables'!$B$29)*'Tax Tables'!$B$30,MIN(MAX(H439,0),'Tax Tables'!$B$23)*'Tax Tables'!$B$24+MIN(MAX(MAX(H439,0)-'Tax Tables'!$B$23,0),'Tax Tables'!$B$25)*'Tax Tables'!$B$26))*Calculator!$B$11,Calculator!$B$12)</f>
        <v>15470</v>
      </c>
      <c r="J439" s="11" t="n">
        <f aca="false">MAX(H439,0)-I439</f>
        <v>171530</v>
      </c>
      <c r="K439" s="11" t="n">
        <f aca="false">MIN(IF(A439&gt;0,Calculator!$B$13,0)+E439+Calculator!$B$14,'Tax Tables'!$B$36)</f>
        <v>1000</v>
      </c>
      <c r="L439" s="11" t="n">
        <f aca="false">MAX(A439-K439,0)</f>
        <v>212000</v>
      </c>
      <c r="M439" s="11" t="n">
        <f aca="false">SUMPRODUCT((L439&gt;'Tax Tables'!$A$5:$A$17)*(L439-'Tax Tables'!$A$5:$A$17)*'Tax Tables'!$C$5:$C$17)</f>
        <v>23430</v>
      </c>
      <c r="N439" s="11" t="n">
        <f aca="false">IF(H439&lt;0,-1E+099,A439-E439-M439+J439+(E439+F439)*Calculator!$B$9)</f>
        <v>361100</v>
      </c>
      <c r="O439" s="2"/>
      <c r="P439" s="11" t="n">
        <f aca="false">426*$B$3</f>
        <v>213000</v>
      </c>
      <c r="Q439" s="11" t="n">
        <f aca="false">MIN(P439,'Tax Tables'!$B$31*'Tax Tables'!$B$32)</f>
        <v>96000</v>
      </c>
      <c r="R439" s="11" t="n">
        <f aca="false">P439-Q439</f>
        <v>117000</v>
      </c>
      <c r="S439" s="11" t="n">
        <f aca="false">IF(Calculator!$B$6="Yes",MIN(Q439,'Tax Tables'!$B$31*'Tax Tables'!$B$32),0)</f>
        <v>96000</v>
      </c>
      <c r="T439" s="11" t="n">
        <f aca="false">S439*Calculator!$B$7</f>
        <v>19200</v>
      </c>
      <c r="U439" s="11" t="n">
        <f aca="false">S439*Calculator!$B$8</f>
        <v>16320</v>
      </c>
      <c r="V439" s="11" t="n">
        <f aca="false">IF(Q439&gt;0,'Tax Tables'!$B$32*MIN(MAX(Q439/'Tax Tables'!$B$32*'Tax Tables'!$B$33,'Tax Tables'!$B$34),'Tax Tables'!$B$35),0)</f>
        <v>135</v>
      </c>
      <c r="W439" s="11" t="n">
        <f aca="false">Calculator!$B$5-P439-U439-V439</f>
        <v>170545</v>
      </c>
      <c r="X439" s="11" t="n">
        <f aca="false">'Tax Tables'!$B$22*(MAX(W439,0)-IF(Calculator!$B$10="Yes",MIN(MAX(W439,0),'Tax Tables'!$B$27)*'Tax Tables'!$B$28+MIN(MAX(MAX(W439,0)-'Tax Tables'!$B$27,0),'Tax Tables'!$B$29)*'Tax Tables'!$B$30,MIN(MAX(W439,0),'Tax Tables'!$B$23)*'Tax Tables'!$B$24+MIN(MAX(MAX(W439,0)-'Tax Tables'!$B$23,0),'Tax Tables'!$B$25)*'Tax Tables'!$B$26))*1-MIN('Tax Tables'!$B$22*(MAX(W439,0)-IF(Calculator!$B$10="Yes",MIN(MAX(W439,0),'Tax Tables'!$B$27)*'Tax Tables'!$B$28+MIN(MAX(MAX(W439,0)-'Tax Tables'!$B$27,0),'Tax Tables'!$B$29)*'Tax Tables'!$B$30,MIN(MAX(W439,0),'Tax Tables'!$B$23)*'Tax Tables'!$B$24+MIN(MAX(MAX(W439,0)-'Tax Tables'!$B$23,0),'Tax Tables'!$B$25)*'Tax Tables'!$B$26))*Calculator!$B$11,Calculator!$B$12)</f>
        <v>14071.325</v>
      </c>
      <c r="Y439" s="11" t="n">
        <f aca="false">MAX(W439,0)-X439</f>
        <v>156473.675</v>
      </c>
      <c r="Z439" s="11" t="n">
        <f aca="false">MIN(IF(P439&gt;0,Calculator!$B$13,0)+T439+Calculator!$B$14,'Tax Tables'!$B$36)</f>
        <v>20200</v>
      </c>
      <c r="AA439" s="11" t="n">
        <f aca="false">MAX(P439-Z439,0)</f>
        <v>192800</v>
      </c>
      <c r="AB439" s="11" t="n">
        <f aca="false">SUMPRODUCT((AA439&gt;'Tax Tables'!$A$5:$A$17)*(AA439-'Tax Tables'!$A$5:$A$17)*'Tax Tables'!$C$5:$C$17)</f>
        <v>19854</v>
      </c>
      <c r="AC439" s="11" t="n">
        <f aca="false">IF(W439&lt;0,-1E+099,P439-T439-AB439+Y439+(T439+U439)*Calculator!$B$9)</f>
        <v>365939.675</v>
      </c>
    </row>
    <row r="440" customFormat="false" ht="15" hidden="false" customHeight="false" outlineLevel="0" collapsed="false">
      <c r="A440" s="11" t="n">
        <f aca="false">427*$B$3</f>
        <v>213500</v>
      </c>
      <c r="B440" s="11" t="n">
        <f aca="false">0</f>
        <v>0</v>
      </c>
      <c r="C440" s="11" t="n">
        <f aca="false">A440-B440</f>
        <v>213500</v>
      </c>
      <c r="D440" s="11" t="n">
        <f aca="false">IF(Calculator!$B$6="Yes",MIN(B440,'Tax Tables'!$B$31*'Tax Tables'!$B$32),0)</f>
        <v>0</v>
      </c>
      <c r="E440" s="11" t="n">
        <f aca="false">D440*Calculator!$B$7</f>
        <v>0</v>
      </c>
      <c r="F440" s="11" t="n">
        <f aca="false">D440*Calculator!$B$8</f>
        <v>0</v>
      </c>
      <c r="G440" s="11" t="n">
        <f aca="false">IF(B440&gt;0,'Tax Tables'!$B$32*MIN(MAX(B440/'Tax Tables'!$B$32*'Tax Tables'!$B$33,'Tax Tables'!$B$34),'Tax Tables'!$B$35),0)</f>
        <v>0</v>
      </c>
      <c r="H440" s="11" t="n">
        <f aca="false">Calculator!$B$5-A440-F440-G440</f>
        <v>186500</v>
      </c>
      <c r="I440" s="11" t="n">
        <f aca="false">'Tax Tables'!$B$22*(MAX(H440,0)-IF(Calculator!$B$10="Yes",MIN(MAX(H440,0),'Tax Tables'!$B$27)*'Tax Tables'!$B$28+MIN(MAX(MAX(H440,0)-'Tax Tables'!$B$27,0),'Tax Tables'!$B$29)*'Tax Tables'!$B$30,MIN(MAX(H440,0),'Tax Tables'!$B$23)*'Tax Tables'!$B$24+MIN(MAX(MAX(H440,0)-'Tax Tables'!$B$23,0),'Tax Tables'!$B$25)*'Tax Tables'!$B$26))*1-MIN('Tax Tables'!$B$22*(MAX(H440,0)-IF(Calculator!$B$10="Yes",MIN(MAX(H440,0),'Tax Tables'!$B$27)*'Tax Tables'!$B$28+MIN(MAX(MAX(H440,0)-'Tax Tables'!$B$27,0),'Tax Tables'!$B$29)*'Tax Tables'!$B$30,MIN(MAX(H440,0),'Tax Tables'!$B$23)*'Tax Tables'!$B$24+MIN(MAX(MAX(H440,0)-'Tax Tables'!$B$23,0),'Tax Tables'!$B$25)*'Tax Tables'!$B$26))*Calculator!$B$11,Calculator!$B$12)</f>
        <v>15427.5</v>
      </c>
      <c r="J440" s="11" t="n">
        <f aca="false">MAX(H440,0)-I440</f>
        <v>171072.5</v>
      </c>
      <c r="K440" s="11" t="n">
        <f aca="false">MIN(IF(A440&gt;0,Calculator!$B$13,0)+E440+Calculator!$B$14,'Tax Tables'!$B$36)</f>
        <v>1000</v>
      </c>
      <c r="L440" s="11" t="n">
        <f aca="false">MAX(A440-K440,0)</f>
        <v>212500</v>
      </c>
      <c r="M440" s="11" t="n">
        <f aca="false">SUMPRODUCT((L440&gt;'Tax Tables'!$A$5:$A$17)*(L440-'Tax Tables'!$A$5:$A$17)*'Tax Tables'!$C$5:$C$17)</f>
        <v>23525</v>
      </c>
      <c r="N440" s="11" t="n">
        <f aca="false">IF(H440&lt;0,-1E+099,A440-E440-M440+J440+(E440+F440)*Calculator!$B$9)</f>
        <v>361047.5</v>
      </c>
      <c r="O440" s="2"/>
      <c r="P440" s="11" t="n">
        <f aca="false">427*$B$3</f>
        <v>213500</v>
      </c>
      <c r="Q440" s="11" t="n">
        <f aca="false">MIN(P440,'Tax Tables'!$B$31*'Tax Tables'!$B$32)</f>
        <v>96000</v>
      </c>
      <c r="R440" s="11" t="n">
        <f aca="false">P440-Q440</f>
        <v>117500</v>
      </c>
      <c r="S440" s="11" t="n">
        <f aca="false">IF(Calculator!$B$6="Yes",MIN(Q440,'Tax Tables'!$B$31*'Tax Tables'!$B$32),0)</f>
        <v>96000</v>
      </c>
      <c r="T440" s="11" t="n">
        <f aca="false">S440*Calculator!$B$7</f>
        <v>19200</v>
      </c>
      <c r="U440" s="11" t="n">
        <f aca="false">S440*Calculator!$B$8</f>
        <v>16320</v>
      </c>
      <c r="V440" s="11" t="n">
        <f aca="false">IF(Q440&gt;0,'Tax Tables'!$B$32*MIN(MAX(Q440/'Tax Tables'!$B$32*'Tax Tables'!$B$33,'Tax Tables'!$B$34),'Tax Tables'!$B$35),0)</f>
        <v>135</v>
      </c>
      <c r="W440" s="11" t="n">
        <f aca="false">Calculator!$B$5-P440-U440-V440</f>
        <v>170045</v>
      </c>
      <c r="X440" s="11" t="n">
        <f aca="false">'Tax Tables'!$B$22*(MAX(W440,0)-IF(Calculator!$B$10="Yes",MIN(MAX(W440,0),'Tax Tables'!$B$27)*'Tax Tables'!$B$28+MIN(MAX(MAX(W440,0)-'Tax Tables'!$B$27,0),'Tax Tables'!$B$29)*'Tax Tables'!$B$30,MIN(MAX(W440,0),'Tax Tables'!$B$23)*'Tax Tables'!$B$24+MIN(MAX(MAX(W440,0)-'Tax Tables'!$B$23,0),'Tax Tables'!$B$25)*'Tax Tables'!$B$26))*1-MIN('Tax Tables'!$B$22*(MAX(W440,0)-IF(Calculator!$B$10="Yes",MIN(MAX(W440,0),'Tax Tables'!$B$27)*'Tax Tables'!$B$28+MIN(MAX(MAX(W440,0)-'Tax Tables'!$B$27,0),'Tax Tables'!$B$29)*'Tax Tables'!$B$30,MIN(MAX(W440,0),'Tax Tables'!$B$23)*'Tax Tables'!$B$24+MIN(MAX(MAX(W440,0)-'Tax Tables'!$B$23,0),'Tax Tables'!$B$25)*'Tax Tables'!$B$26))*Calculator!$B$11,Calculator!$B$12)</f>
        <v>14028.825</v>
      </c>
      <c r="Y440" s="11" t="n">
        <f aca="false">MAX(W440,0)-X440</f>
        <v>156016.175</v>
      </c>
      <c r="Z440" s="11" t="n">
        <f aca="false">MIN(IF(P440&gt;0,Calculator!$B$13,0)+T440+Calculator!$B$14,'Tax Tables'!$B$36)</f>
        <v>20200</v>
      </c>
      <c r="AA440" s="11" t="n">
        <f aca="false">MAX(P440-Z440,0)</f>
        <v>193300</v>
      </c>
      <c r="AB440" s="11" t="n">
        <f aca="false">SUMPRODUCT((AA440&gt;'Tax Tables'!$A$5:$A$17)*(AA440-'Tax Tables'!$A$5:$A$17)*'Tax Tables'!$C$5:$C$17)</f>
        <v>19944</v>
      </c>
      <c r="AC440" s="11" t="n">
        <f aca="false">IF(W440&lt;0,-1E+099,P440-T440-AB440+Y440+(T440+U440)*Calculator!$B$9)</f>
        <v>365892.175</v>
      </c>
    </row>
    <row r="441" customFormat="false" ht="15" hidden="false" customHeight="false" outlineLevel="0" collapsed="false">
      <c r="A441" s="11" t="n">
        <f aca="false">428*$B$3</f>
        <v>214000</v>
      </c>
      <c r="B441" s="11" t="n">
        <f aca="false">0</f>
        <v>0</v>
      </c>
      <c r="C441" s="11" t="n">
        <f aca="false">A441-B441</f>
        <v>214000</v>
      </c>
      <c r="D441" s="11" t="n">
        <f aca="false">IF(Calculator!$B$6="Yes",MIN(B441,'Tax Tables'!$B$31*'Tax Tables'!$B$32),0)</f>
        <v>0</v>
      </c>
      <c r="E441" s="11" t="n">
        <f aca="false">D441*Calculator!$B$7</f>
        <v>0</v>
      </c>
      <c r="F441" s="11" t="n">
        <f aca="false">D441*Calculator!$B$8</f>
        <v>0</v>
      </c>
      <c r="G441" s="11" t="n">
        <f aca="false">IF(B441&gt;0,'Tax Tables'!$B$32*MIN(MAX(B441/'Tax Tables'!$B$32*'Tax Tables'!$B$33,'Tax Tables'!$B$34),'Tax Tables'!$B$35),0)</f>
        <v>0</v>
      </c>
      <c r="H441" s="11" t="n">
        <f aca="false">Calculator!$B$5-A441-F441-G441</f>
        <v>186000</v>
      </c>
      <c r="I441" s="11" t="n">
        <f aca="false">'Tax Tables'!$B$22*(MAX(H441,0)-IF(Calculator!$B$10="Yes",MIN(MAX(H441,0),'Tax Tables'!$B$27)*'Tax Tables'!$B$28+MIN(MAX(MAX(H441,0)-'Tax Tables'!$B$27,0),'Tax Tables'!$B$29)*'Tax Tables'!$B$30,MIN(MAX(H441,0),'Tax Tables'!$B$23)*'Tax Tables'!$B$24+MIN(MAX(MAX(H441,0)-'Tax Tables'!$B$23,0),'Tax Tables'!$B$25)*'Tax Tables'!$B$26))*1-MIN('Tax Tables'!$B$22*(MAX(H441,0)-IF(Calculator!$B$10="Yes",MIN(MAX(H441,0),'Tax Tables'!$B$27)*'Tax Tables'!$B$28+MIN(MAX(MAX(H441,0)-'Tax Tables'!$B$27,0),'Tax Tables'!$B$29)*'Tax Tables'!$B$30,MIN(MAX(H441,0),'Tax Tables'!$B$23)*'Tax Tables'!$B$24+MIN(MAX(MAX(H441,0)-'Tax Tables'!$B$23,0),'Tax Tables'!$B$25)*'Tax Tables'!$B$26))*Calculator!$B$11,Calculator!$B$12)</f>
        <v>15385</v>
      </c>
      <c r="J441" s="11" t="n">
        <f aca="false">MAX(H441,0)-I441</f>
        <v>170615</v>
      </c>
      <c r="K441" s="11" t="n">
        <f aca="false">MIN(IF(A441&gt;0,Calculator!$B$13,0)+E441+Calculator!$B$14,'Tax Tables'!$B$36)</f>
        <v>1000</v>
      </c>
      <c r="L441" s="11" t="n">
        <f aca="false">MAX(A441-K441,0)</f>
        <v>213000</v>
      </c>
      <c r="M441" s="11" t="n">
        <f aca="false">SUMPRODUCT((L441&gt;'Tax Tables'!$A$5:$A$17)*(L441-'Tax Tables'!$A$5:$A$17)*'Tax Tables'!$C$5:$C$17)</f>
        <v>23620</v>
      </c>
      <c r="N441" s="11" t="n">
        <f aca="false">IF(H441&lt;0,-1E+099,A441-E441-M441+J441+(E441+F441)*Calculator!$B$9)</f>
        <v>360995</v>
      </c>
      <c r="O441" s="2"/>
      <c r="P441" s="11" t="n">
        <f aca="false">428*$B$3</f>
        <v>214000</v>
      </c>
      <c r="Q441" s="11" t="n">
        <f aca="false">MIN(P441,'Tax Tables'!$B$31*'Tax Tables'!$B$32)</f>
        <v>96000</v>
      </c>
      <c r="R441" s="11" t="n">
        <f aca="false">P441-Q441</f>
        <v>118000</v>
      </c>
      <c r="S441" s="11" t="n">
        <f aca="false">IF(Calculator!$B$6="Yes",MIN(Q441,'Tax Tables'!$B$31*'Tax Tables'!$B$32),0)</f>
        <v>96000</v>
      </c>
      <c r="T441" s="11" t="n">
        <f aca="false">S441*Calculator!$B$7</f>
        <v>19200</v>
      </c>
      <c r="U441" s="11" t="n">
        <f aca="false">S441*Calculator!$B$8</f>
        <v>16320</v>
      </c>
      <c r="V441" s="11" t="n">
        <f aca="false">IF(Q441&gt;0,'Tax Tables'!$B$32*MIN(MAX(Q441/'Tax Tables'!$B$32*'Tax Tables'!$B$33,'Tax Tables'!$B$34),'Tax Tables'!$B$35),0)</f>
        <v>135</v>
      </c>
      <c r="W441" s="11" t="n">
        <f aca="false">Calculator!$B$5-P441-U441-V441</f>
        <v>169545</v>
      </c>
      <c r="X441" s="11" t="n">
        <f aca="false">'Tax Tables'!$B$22*(MAX(W441,0)-IF(Calculator!$B$10="Yes",MIN(MAX(W441,0),'Tax Tables'!$B$27)*'Tax Tables'!$B$28+MIN(MAX(MAX(W441,0)-'Tax Tables'!$B$27,0),'Tax Tables'!$B$29)*'Tax Tables'!$B$30,MIN(MAX(W441,0),'Tax Tables'!$B$23)*'Tax Tables'!$B$24+MIN(MAX(MAX(W441,0)-'Tax Tables'!$B$23,0),'Tax Tables'!$B$25)*'Tax Tables'!$B$26))*1-MIN('Tax Tables'!$B$22*(MAX(W441,0)-IF(Calculator!$B$10="Yes",MIN(MAX(W441,0),'Tax Tables'!$B$27)*'Tax Tables'!$B$28+MIN(MAX(MAX(W441,0)-'Tax Tables'!$B$27,0),'Tax Tables'!$B$29)*'Tax Tables'!$B$30,MIN(MAX(W441,0),'Tax Tables'!$B$23)*'Tax Tables'!$B$24+MIN(MAX(MAX(W441,0)-'Tax Tables'!$B$23,0),'Tax Tables'!$B$25)*'Tax Tables'!$B$26))*Calculator!$B$11,Calculator!$B$12)</f>
        <v>13986.325</v>
      </c>
      <c r="Y441" s="11" t="n">
        <f aca="false">MAX(W441,0)-X441</f>
        <v>155558.675</v>
      </c>
      <c r="Z441" s="11" t="n">
        <f aca="false">MIN(IF(P441&gt;0,Calculator!$B$13,0)+T441+Calculator!$B$14,'Tax Tables'!$B$36)</f>
        <v>20200</v>
      </c>
      <c r="AA441" s="11" t="n">
        <f aca="false">MAX(P441-Z441,0)</f>
        <v>193800</v>
      </c>
      <c r="AB441" s="11" t="n">
        <f aca="false">SUMPRODUCT((AA441&gt;'Tax Tables'!$A$5:$A$17)*(AA441-'Tax Tables'!$A$5:$A$17)*'Tax Tables'!$C$5:$C$17)</f>
        <v>20034</v>
      </c>
      <c r="AC441" s="11" t="n">
        <f aca="false">IF(W441&lt;0,-1E+099,P441-T441-AB441+Y441+(T441+U441)*Calculator!$B$9)</f>
        <v>365844.675</v>
      </c>
    </row>
    <row r="442" customFormat="false" ht="15" hidden="false" customHeight="false" outlineLevel="0" collapsed="false">
      <c r="A442" s="11" t="n">
        <f aca="false">429*$B$3</f>
        <v>214500</v>
      </c>
      <c r="B442" s="11" t="n">
        <f aca="false">0</f>
        <v>0</v>
      </c>
      <c r="C442" s="11" t="n">
        <f aca="false">A442-B442</f>
        <v>214500</v>
      </c>
      <c r="D442" s="11" t="n">
        <f aca="false">IF(Calculator!$B$6="Yes",MIN(B442,'Tax Tables'!$B$31*'Tax Tables'!$B$32),0)</f>
        <v>0</v>
      </c>
      <c r="E442" s="11" t="n">
        <f aca="false">D442*Calculator!$B$7</f>
        <v>0</v>
      </c>
      <c r="F442" s="11" t="n">
        <f aca="false">D442*Calculator!$B$8</f>
        <v>0</v>
      </c>
      <c r="G442" s="11" t="n">
        <f aca="false">IF(B442&gt;0,'Tax Tables'!$B$32*MIN(MAX(B442/'Tax Tables'!$B$32*'Tax Tables'!$B$33,'Tax Tables'!$B$34),'Tax Tables'!$B$35),0)</f>
        <v>0</v>
      </c>
      <c r="H442" s="11" t="n">
        <f aca="false">Calculator!$B$5-A442-F442-G442</f>
        <v>185500</v>
      </c>
      <c r="I442" s="11" t="n">
        <f aca="false">'Tax Tables'!$B$22*(MAX(H442,0)-IF(Calculator!$B$10="Yes",MIN(MAX(H442,0),'Tax Tables'!$B$27)*'Tax Tables'!$B$28+MIN(MAX(MAX(H442,0)-'Tax Tables'!$B$27,0),'Tax Tables'!$B$29)*'Tax Tables'!$B$30,MIN(MAX(H442,0),'Tax Tables'!$B$23)*'Tax Tables'!$B$24+MIN(MAX(MAX(H442,0)-'Tax Tables'!$B$23,0),'Tax Tables'!$B$25)*'Tax Tables'!$B$26))*1-MIN('Tax Tables'!$B$22*(MAX(H442,0)-IF(Calculator!$B$10="Yes",MIN(MAX(H442,0),'Tax Tables'!$B$27)*'Tax Tables'!$B$28+MIN(MAX(MAX(H442,0)-'Tax Tables'!$B$27,0),'Tax Tables'!$B$29)*'Tax Tables'!$B$30,MIN(MAX(H442,0),'Tax Tables'!$B$23)*'Tax Tables'!$B$24+MIN(MAX(MAX(H442,0)-'Tax Tables'!$B$23,0),'Tax Tables'!$B$25)*'Tax Tables'!$B$26))*Calculator!$B$11,Calculator!$B$12)</f>
        <v>15342.5</v>
      </c>
      <c r="J442" s="11" t="n">
        <f aca="false">MAX(H442,0)-I442</f>
        <v>170157.5</v>
      </c>
      <c r="K442" s="11" t="n">
        <f aca="false">MIN(IF(A442&gt;0,Calculator!$B$13,0)+E442+Calculator!$B$14,'Tax Tables'!$B$36)</f>
        <v>1000</v>
      </c>
      <c r="L442" s="11" t="n">
        <f aca="false">MAX(A442-K442,0)</f>
        <v>213500</v>
      </c>
      <c r="M442" s="11" t="n">
        <f aca="false">SUMPRODUCT((L442&gt;'Tax Tables'!$A$5:$A$17)*(L442-'Tax Tables'!$A$5:$A$17)*'Tax Tables'!$C$5:$C$17)</f>
        <v>23715</v>
      </c>
      <c r="N442" s="11" t="n">
        <f aca="false">IF(H442&lt;0,-1E+099,A442-E442-M442+J442+(E442+F442)*Calculator!$B$9)</f>
        <v>360942.5</v>
      </c>
      <c r="O442" s="2"/>
      <c r="P442" s="11" t="n">
        <f aca="false">429*$B$3</f>
        <v>214500</v>
      </c>
      <c r="Q442" s="11" t="n">
        <f aca="false">MIN(P442,'Tax Tables'!$B$31*'Tax Tables'!$B$32)</f>
        <v>96000</v>
      </c>
      <c r="R442" s="11" t="n">
        <f aca="false">P442-Q442</f>
        <v>118500</v>
      </c>
      <c r="S442" s="11" t="n">
        <f aca="false">IF(Calculator!$B$6="Yes",MIN(Q442,'Tax Tables'!$B$31*'Tax Tables'!$B$32),0)</f>
        <v>96000</v>
      </c>
      <c r="T442" s="11" t="n">
        <f aca="false">S442*Calculator!$B$7</f>
        <v>19200</v>
      </c>
      <c r="U442" s="11" t="n">
        <f aca="false">S442*Calculator!$B$8</f>
        <v>16320</v>
      </c>
      <c r="V442" s="11" t="n">
        <f aca="false">IF(Q442&gt;0,'Tax Tables'!$B$32*MIN(MAX(Q442/'Tax Tables'!$B$32*'Tax Tables'!$B$33,'Tax Tables'!$B$34),'Tax Tables'!$B$35),0)</f>
        <v>135</v>
      </c>
      <c r="W442" s="11" t="n">
        <f aca="false">Calculator!$B$5-P442-U442-V442</f>
        <v>169045</v>
      </c>
      <c r="X442" s="11" t="n">
        <f aca="false">'Tax Tables'!$B$22*(MAX(W442,0)-IF(Calculator!$B$10="Yes",MIN(MAX(W442,0),'Tax Tables'!$B$27)*'Tax Tables'!$B$28+MIN(MAX(MAX(W442,0)-'Tax Tables'!$B$27,0),'Tax Tables'!$B$29)*'Tax Tables'!$B$30,MIN(MAX(W442,0),'Tax Tables'!$B$23)*'Tax Tables'!$B$24+MIN(MAX(MAX(W442,0)-'Tax Tables'!$B$23,0),'Tax Tables'!$B$25)*'Tax Tables'!$B$26))*1-MIN('Tax Tables'!$B$22*(MAX(W442,0)-IF(Calculator!$B$10="Yes",MIN(MAX(W442,0),'Tax Tables'!$B$27)*'Tax Tables'!$B$28+MIN(MAX(MAX(W442,0)-'Tax Tables'!$B$27,0),'Tax Tables'!$B$29)*'Tax Tables'!$B$30,MIN(MAX(W442,0),'Tax Tables'!$B$23)*'Tax Tables'!$B$24+MIN(MAX(MAX(W442,0)-'Tax Tables'!$B$23,0),'Tax Tables'!$B$25)*'Tax Tables'!$B$26))*Calculator!$B$11,Calculator!$B$12)</f>
        <v>13943.825</v>
      </c>
      <c r="Y442" s="11" t="n">
        <f aca="false">MAX(W442,0)-X442</f>
        <v>155101.175</v>
      </c>
      <c r="Z442" s="11" t="n">
        <f aca="false">MIN(IF(P442&gt;0,Calculator!$B$13,0)+T442+Calculator!$B$14,'Tax Tables'!$B$36)</f>
        <v>20200</v>
      </c>
      <c r="AA442" s="11" t="n">
        <f aca="false">MAX(P442-Z442,0)</f>
        <v>194300</v>
      </c>
      <c r="AB442" s="11" t="n">
        <f aca="false">SUMPRODUCT((AA442&gt;'Tax Tables'!$A$5:$A$17)*(AA442-'Tax Tables'!$A$5:$A$17)*'Tax Tables'!$C$5:$C$17)</f>
        <v>20124</v>
      </c>
      <c r="AC442" s="11" t="n">
        <f aca="false">IF(W442&lt;0,-1E+099,P442-T442-AB442+Y442+(T442+U442)*Calculator!$B$9)</f>
        <v>365797.175</v>
      </c>
    </row>
    <row r="443" customFormat="false" ht="15" hidden="false" customHeight="false" outlineLevel="0" collapsed="false">
      <c r="A443" s="11" t="n">
        <f aca="false">430*$B$3</f>
        <v>215000</v>
      </c>
      <c r="B443" s="11" t="n">
        <f aca="false">0</f>
        <v>0</v>
      </c>
      <c r="C443" s="11" t="n">
        <f aca="false">A443-B443</f>
        <v>215000</v>
      </c>
      <c r="D443" s="11" t="n">
        <f aca="false">IF(Calculator!$B$6="Yes",MIN(B443,'Tax Tables'!$B$31*'Tax Tables'!$B$32),0)</f>
        <v>0</v>
      </c>
      <c r="E443" s="11" t="n">
        <f aca="false">D443*Calculator!$B$7</f>
        <v>0</v>
      </c>
      <c r="F443" s="11" t="n">
        <f aca="false">D443*Calculator!$B$8</f>
        <v>0</v>
      </c>
      <c r="G443" s="11" t="n">
        <f aca="false">IF(B443&gt;0,'Tax Tables'!$B$32*MIN(MAX(B443/'Tax Tables'!$B$32*'Tax Tables'!$B$33,'Tax Tables'!$B$34),'Tax Tables'!$B$35),0)</f>
        <v>0</v>
      </c>
      <c r="H443" s="11" t="n">
        <f aca="false">Calculator!$B$5-A443-F443-G443</f>
        <v>185000</v>
      </c>
      <c r="I443" s="11" t="n">
        <f aca="false">'Tax Tables'!$B$22*(MAX(H443,0)-IF(Calculator!$B$10="Yes",MIN(MAX(H443,0),'Tax Tables'!$B$27)*'Tax Tables'!$B$28+MIN(MAX(MAX(H443,0)-'Tax Tables'!$B$27,0),'Tax Tables'!$B$29)*'Tax Tables'!$B$30,MIN(MAX(H443,0),'Tax Tables'!$B$23)*'Tax Tables'!$B$24+MIN(MAX(MAX(H443,0)-'Tax Tables'!$B$23,0),'Tax Tables'!$B$25)*'Tax Tables'!$B$26))*1-MIN('Tax Tables'!$B$22*(MAX(H443,0)-IF(Calculator!$B$10="Yes",MIN(MAX(H443,0),'Tax Tables'!$B$27)*'Tax Tables'!$B$28+MIN(MAX(MAX(H443,0)-'Tax Tables'!$B$27,0),'Tax Tables'!$B$29)*'Tax Tables'!$B$30,MIN(MAX(H443,0),'Tax Tables'!$B$23)*'Tax Tables'!$B$24+MIN(MAX(MAX(H443,0)-'Tax Tables'!$B$23,0),'Tax Tables'!$B$25)*'Tax Tables'!$B$26))*Calculator!$B$11,Calculator!$B$12)</f>
        <v>15300</v>
      </c>
      <c r="J443" s="11" t="n">
        <f aca="false">MAX(H443,0)-I443</f>
        <v>169700</v>
      </c>
      <c r="K443" s="11" t="n">
        <f aca="false">MIN(IF(A443&gt;0,Calculator!$B$13,0)+E443+Calculator!$B$14,'Tax Tables'!$B$36)</f>
        <v>1000</v>
      </c>
      <c r="L443" s="11" t="n">
        <f aca="false">MAX(A443-K443,0)</f>
        <v>214000</v>
      </c>
      <c r="M443" s="11" t="n">
        <f aca="false">SUMPRODUCT((L443&gt;'Tax Tables'!$A$5:$A$17)*(L443-'Tax Tables'!$A$5:$A$17)*'Tax Tables'!$C$5:$C$17)</f>
        <v>23810</v>
      </c>
      <c r="N443" s="11" t="n">
        <f aca="false">IF(H443&lt;0,-1E+099,A443-E443-M443+J443+(E443+F443)*Calculator!$B$9)</f>
        <v>360890</v>
      </c>
      <c r="O443" s="2"/>
      <c r="P443" s="11" t="n">
        <f aca="false">430*$B$3</f>
        <v>215000</v>
      </c>
      <c r="Q443" s="11" t="n">
        <f aca="false">MIN(P443,'Tax Tables'!$B$31*'Tax Tables'!$B$32)</f>
        <v>96000</v>
      </c>
      <c r="R443" s="11" t="n">
        <f aca="false">P443-Q443</f>
        <v>119000</v>
      </c>
      <c r="S443" s="11" t="n">
        <f aca="false">IF(Calculator!$B$6="Yes",MIN(Q443,'Tax Tables'!$B$31*'Tax Tables'!$B$32),0)</f>
        <v>96000</v>
      </c>
      <c r="T443" s="11" t="n">
        <f aca="false">S443*Calculator!$B$7</f>
        <v>19200</v>
      </c>
      <c r="U443" s="11" t="n">
        <f aca="false">S443*Calculator!$B$8</f>
        <v>16320</v>
      </c>
      <c r="V443" s="11" t="n">
        <f aca="false">IF(Q443&gt;0,'Tax Tables'!$B$32*MIN(MAX(Q443/'Tax Tables'!$B$32*'Tax Tables'!$B$33,'Tax Tables'!$B$34),'Tax Tables'!$B$35),0)</f>
        <v>135</v>
      </c>
      <c r="W443" s="11" t="n">
        <f aca="false">Calculator!$B$5-P443-U443-V443</f>
        <v>168545</v>
      </c>
      <c r="X443" s="11" t="n">
        <f aca="false">'Tax Tables'!$B$22*(MAX(W443,0)-IF(Calculator!$B$10="Yes",MIN(MAX(W443,0),'Tax Tables'!$B$27)*'Tax Tables'!$B$28+MIN(MAX(MAX(W443,0)-'Tax Tables'!$B$27,0),'Tax Tables'!$B$29)*'Tax Tables'!$B$30,MIN(MAX(W443,0),'Tax Tables'!$B$23)*'Tax Tables'!$B$24+MIN(MAX(MAX(W443,0)-'Tax Tables'!$B$23,0),'Tax Tables'!$B$25)*'Tax Tables'!$B$26))*1-MIN('Tax Tables'!$B$22*(MAX(W443,0)-IF(Calculator!$B$10="Yes",MIN(MAX(W443,0),'Tax Tables'!$B$27)*'Tax Tables'!$B$28+MIN(MAX(MAX(W443,0)-'Tax Tables'!$B$27,0),'Tax Tables'!$B$29)*'Tax Tables'!$B$30,MIN(MAX(W443,0),'Tax Tables'!$B$23)*'Tax Tables'!$B$24+MIN(MAX(MAX(W443,0)-'Tax Tables'!$B$23,0),'Tax Tables'!$B$25)*'Tax Tables'!$B$26))*Calculator!$B$11,Calculator!$B$12)</f>
        <v>13901.325</v>
      </c>
      <c r="Y443" s="11" t="n">
        <f aca="false">MAX(W443,0)-X443</f>
        <v>154643.675</v>
      </c>
      <c r="Z443" s="11" t="n">
        <f aca="false">MIN(IF(P443&gt;0,Calculator!$B$13,0)+T443+Calculator!$B$14,'Tax Tables'!$B$36)</f>
        <v>20200</v>
      </c>
      <c r="AA443" s="11" t="n">
        <f aca="false">MAX(P443-Z443,0)</f>
        <v>194800</v>
      </c>
      <c r="AB443" s="11" t="n">
        <f aca="false">SUMPRODUCT((AA443&gt;'Tax Tables'!$A$5:$A$17)*(AA443-'Tax Tables'!$A$5:$A$17)*'Tax Tables'!$C$5:$C$17)</f>
        <v>20214</v>
      </c>
      <c r="AC443" s="11" t="n">
        <f aca="false">IF(W443&lt;0,-1E+099,P443-T443-AB443+Y443+(T443+U443)*Calculator!$B$9)</f>
        <v>365749.675</v>
      </c>
    </row>
    <row r="444" customFormat="false" ht="15" hidden="false" customHeight="false" outlineLevel="0" collapsed="false">
      <c r="A444" s="11" t="n">
        <f aca="false">431*$B$3</f>
        <v>215500</v>
      </c>
      <c r="B444" s="11" t="n">
        <f aca="false">0</f>
        <v>0</v>
      </c>
      <c r="C444" s="11" t="n">
        <f aca="false">A444-B444</f>
        <v>215500</v>
      </c>
      <c r="D444" s="11" t="n">
        <f aca="false">IF(Calculator!$B$6="Yes",MIN(B444,'Tax Tables'!$B$31*'Tax Tables'!$B$32),0)</f>
        <v>0</v>
      </c>
      <c r="E444" s="11" t="n">
        <f aca="false">D444*Calculator!$B$7</f>
        <v>0</v>
      </c>
      <c r="F444" s="11" t="n">
        <f aca="false">D444*Calculator!$B$8</f>
        <v>0</v>
      </c>
      <c r="G444" s="11" t="n">
        <f aca="false">IF(B444&gt;0,'Tax Tables'!$B$32*MIN(MAX(B444/'Tax Tables'!$B$32*'Tax Tables'!$B$33,'Tax Tables'!$B$34),'Tax Tables'!$B$35),0)</f>
        <v>0</v>
      </c>
      <c r="H444" s="11" t="n">
        <f aca="false">Calculator!$B$5-A444-F444-G444</f>
        <v>184500</v>
      </c>
      <c r="I444" s="11" t="n">
        <f aca="false">'Tax Tables'!$B$22*(MAX(H444,0)-IF(Calculator!$B$10="Yes",MIN(MAX(H444,0),'Tax Tables'!$B$27)*'Tax Tables'!$B$28+MIN(MAX(MAX(H444,0)-'Tax Tables'!$B$27,0),'Tax Tables'!$B$29)*'Tax Tables'!$B$30,MIN(MAX(H444,0),'Tax Tables'!$B$23)*'Tax Tables'!$B$24+MIN(MAX(MAX(H444,0)-'Tax Tables'!$B$23,0),'Tax Tables'!$B$25)*'Tax Tables'!$B$26))*1-MIN('Tax Tables'!$B$22*(MAX(H444,0)-IF(Calculator!$B$10="Yes",MIN(MAX(H444,0),'Tax Tables'!$B$27)*'Tax Tables'!$B$28+MIN(MAX(MAX(H444,0)-'Tax Tables'!$B$27,0),'Tax Tables'!$B$29)*'Tax Tables'!$B$30,MIN(MAX(H444,0),'Tax Tables'!$B$23)*'Tax Tables'!$B$24+MIN(MAX(MAX(H444,0)-'Tax Tables'!$B$23,0),'Tax Tables'!$B$25)*'Tax Tables'!$B$26))*Calculator!$B$11,Calculator!$B$12)</f>
        <v>15257.5</v>
      </c>
      <c r="J444" s="11" t="n">
        <f aca="false">MAX(H444,0)-I444</f>
        <v>169242.5</v>
      </c>
      <c r="K444" s="11" t="n">
        <f aca="false">MIN(IF(A444&gt;0,Calculator!$B$13,0)+E444+Calculator!$B$14,'Tax Tables'!$B$36)</f>
        <v>1000</v>
      </c>
      <c r="L444" s="11" t="n">
        <f aca="false">MAX(A444-K444,0)</f>
        <v>214500</v>
      </c>
      <c r="M444" s="11" t="n">
        <f aca="false">SUMPRODUCT((L444&gt;'Tax Tables'!$A$5:$A$17)*(L444-'Tax Tables'!$A$5:$A$17)*'Tax Tables'!$C$5:$C$17)</f>
        <v>23905</v>
      </c>
      <c r="N444" s="11" t="n">
        <f aca="false">IF(H444&lt;0,-1E+099,A444-E444-M444+J444+(E444+F444)*Calculator!$B$9)</f>
        <v>360837.5</v>
      </c>
      <c r="O444" s="2"/>
      <c r="P444" s="11" t="n">
        <f aca="false">431*$B$3</f>
        <v>215500</v>
      </c>
      <c r="Q444" s="11" t="n">
        <f aca="false">MIN(P444,'Tax Tables'!$B$31*'Tax Tables'!$B$32)</f>
        <v>96000</v>
      </c>
      <c r="R444" s="11" t="n">
        <f aca="false">P444-Q444</f>
        <v>119500</v>
      </c>
      <c r="S444" s="11" t="n">
        <f aca="false">IF(Calculator!$B$6="Yes",MIN(Q444,'Tax Tables'!$B$31*'Tax Tables'!$B$32),0)</f>
        <v>96000</v>
      </c>
      <c r="T444" s="11" t="n">
        <f aca="false">S444*Calculator!$B$7</f>
        <v>19200</v>
      </c>
      <c r="U444" s="11" t="n">
        <f aca="false">S444*Calculator!$B$8</f>
        <v>16320</v>
      </c>
      <c r="V444" s="11" t="n">
        <f aca="false">IF(Q444&gt;0,'Tax Tables'!$B$32*MIN(MAX(Q444/'Tax Tables'!$B$32*'Tax Tables'!$B$33,'Tax Tables'!$B$34),'Tax Tables'!$B$35),0)</f>
        <v>135</v>
      </c>
      <c r="W444" s="11" t="n">
        <f aca="false">Calculator!$B$5-P444-U444-V444</f>
        <v>168045</v>
      </c>
      <c r="X444" s="11" t="n">
        <f aca="false">'Tax Tables'!$B$22*(MAX(W444,0)-IF(Calculator!$B$10="Yes",MIN(MAX(W444,0),'Tax Tables'!$B$27)*'Tax Tables'!$B$28+MIN(MAX(MAX(W444,0)-'Tax Tables'!$B$27,0),'Tax Tables'!$B$29)*'Tax Tables'!$B$30,MIN(MAX(W444,0),'Tax Tables'!$B$23)*'Tax Tables'!$B$24+MIN(MAX(MAX(W444,0)-'Tax Tables'!$B$23,0),'Tax Tables'!$B$25)*'Tax Tables'!$B$26))*1-MIN('Tax Tables'!$B$22*(MAX(W444,0)-IF(Calculator!$B$10="Yes",MIN(MAX(W444,0),'Tax Tables'!$B$27)*'Tax Tables'!$B$28+MIN(MAX(MAX(W444,0)-'Tax Tables'!$B$27,0),'Tax Tables'!$B$29)*'Tax Tables'!$B$30,MIN(MAX(W444,0),'Tax Tables'!$B$23)*'Tax Tables'!$B$24+MIN(MAX(MAX(W444,0)-'Tax Tables'!$B$23,0),'Tax Tables'!$B$25)*'Tax Tables'!$B$26))*Calculator!$B$11,Calculator!$B$12)</f>
        <v>13858.825</v>
      </c>
      <c r="Y444" s="11" t="n">
        <f aca="false">MAX(W444,0)-X444</f>
        <v>154186.175</v>
      </c>
      <c r="Z444" s="11" t="n">
        <f aca="false">MIN(IF(P444&gt;0,Calculator!$B$13,0)+T444+Calculator!$B$14,'Tax Tables'!$B$36)</f>
        <v>20200</v>
      </c>
      <c r="AA444" s="11" t="n">
        <f aca="false">MAX(P444-Z444,0)</f>
        <v>195300</v>
      </c>
      <c r="AB444" s="11" t="n">
        <f aca="false">SUMPRODUCT((AA444&gt;'Tax Tables'!$A$5:$A$17)*(AA444-'Tax Tables'!$A$5:$A$17)*'Tax Tables'!$C$5:$C$17)</f>
        <v>20304</v>
      </c>
      <c r="AC444" s="11" t="n">
        <f aca="false">IF(W444&lt;0,-1E+099,P444-T444-AB444+Y444+(T444+U444)*Calculator!$B$9)</f>
        <v>365702.175</v>
      </c>
    </row>
    <row r="445" customFormat="false" ht="15" hidden="false" customHeight="false" outlineLevel="0" collapsed="false">
      <c r="A445" s="11" t="n">
        <f aca="false">432*$B$3</f>
        <v>216000</v>
      </c>
      <c r="B445" s="11" t="n">
        <f aca="false">0</f>
        <v>0</v>
      </c>
      <c r="C445" s="11" t="n">
        <f aca="false">A445-B445</f>
        <v>216000</v>
      </c>
      <c r="D445" s="11" t="n">
        <f aca="false">IF(Calculator!$B$6="Yes",MIN(B445,'Tax Tables'!$B$31*'Tax Tables'!$B$32),0)</f>
        <v>0</v>
      </c>
      <c r="E445" s="11" t="n">
        <f aca="false">D445*Calculator!$B$7</f>
        <v>0</v>
      </c>
      <c r="F445" s="11" t="n">
        <f aca="false">D445*Calculator!$B$8</f>
        <v>0</v>
      </c>
      <c r="G445" s="11" t="n">
        <f aca="false">IF(B445&gt;0,'Tax Tables'!$B$32*MIN(MAX(B445/'Tax Tables'!$B$32*'Tax Tables'!$B$33,'Tax Tables'!$B$34),'Tax Tables'!$B$35),0)</f>
        <v>0</v>
      </c>
      <c r="H445" s="11" t="n">
        <f aca="false">Calculator!$B$5-A445-F445-G445</f>
        <v>184000</v>
      </c>
      <c r="I445" s="11" t="n">
        <f aca="false">'Tax Tables'!$B$22*(MAX(H445,0)-IF(Calculator!$B$10="Yes",MIN(MAX(H445,0),'Tax Tables'!$B$27)*'Tax Tables'!$B$28+MIN(MAX(MAX(H445,0)-'Tax Tables'!$B$27,0),'Tax Tables'!$B$29)*'Tax Tables'!$B$30,MIN(MAX(H445,0),'Tax Tables'!$B$23)*'Tax Tables'!$B$24+MIN(MAX(MAX(H445,0)-'Tax Tables'!$B$23,0),'Tax Tables'!$B$25)*'Tax Tables'!$B$26))*1-MIN('Tax Tables'!$B$22*(MAX(H445,0)-IF(Calculator!$B$10="Yes",MIN(MAX(H445,0),'Tax Tables'!$B$27)*'Tax Tables'!$B$28+MIN(MAX(MAX(H445,0)-'Tax Tables'!$B$27,0),'Tax Tables'!$B$29)*'Tax Tables'!$B$30,MIN(MAX(H445,0),'Tax Tables'!$B$23)*'Tax Tables'!$B$24+MIN(MAX(MAX(H445,0)-'Tax Tables'!$B$23,0),'Tax Tables'!$B$25)*'Tax Tables'!$B$26))*Calculator!$B$11,Calculator!$B$12)</f>
        <v>15215</v>
      </c>
      <c r="J445" s="11" t="n">
        <f aca="false">MAX(H445,0)-I445</f>
        <v>168785</v>
      </c>
      <c r="K445" s="11" t="n">
        <f aca="false">MIN(IF(A445&gt;0,Calculator!$B$13,0)+E445+Calculator!$B$14,'Tax Tables'!$B$36)</f>
        <v>1000</v>
      </c>
      <c r="L445" s="11" t="n">
        <f aca="false">MAX(A445-K445,0)</f>
        <v>215000</v>
      </c>
      <c r="M445" s="11" t="n">
        <f aca="false">SUMPRODUCT((L445&gt;'Tax Tables'!$A$5:$A$17)*(L445-'Tax Tables'!$A$5:$A$17)*'Tax Tables'!$C$5:$C$17)</f>
        <v>24000</v>
      </c>
      <c r="N445" s="11" t="n">
        <f aca="false">IF(H445&lt;0,-1E+099,A445-E445-M445+J445+(E445+F445)*Calculator!$B$9)</f>
        <v>360785</v>
      </c>
      <c r="O445" s="2"/>
      <c r="P445" s="11" t="n">
        <f aca="false">432*$B$3</f>
        <v>216000</v>
      </c>
      <c r="Q445" s="11" t="n">
        <f aca="false">MIN(P445,'Tax Tables'!$B$31*'Tax Tables'!$B$32)</f>
        <v>96000</v>
      </c>
      <c r="R445" s="11" t="n">
        <f aca="false">P445-Q445</f>
        <v>120000</v>
      </c>
      <c r="S445" s="11" t="n">
        <f aca="false">IF(Calculator!$B$6="Yes",MIN(Q445,'Tax Tables'!$B$31*'Tax Tables'!$B$32),0)</f>
        <v>96000</v>
      </c>
      <c r="T445" s="11" t="n">
        <f aca="false">S445*Calculator!$B$7</f>
        <v>19200</v>
      </c>
      <c r="U445" s="11" t="n">
        <f aca="false">S445*Calculator!$B$8</f>
        <v>16320</v>
      </c>
      <c r="V445" s="11" t="n">
        <f aca="false">IF(Q445&gt;0,'Tax Tables'!$B$32*MIN(MAX(Q445/'Tax Tables'!$B$32*'Tax Tables'!$B$33,'Tax Tables'!$B$34),'Tax Tables'!$B$35),0)</f>
        <v>135</v>
      </c>
      <c r="W445" s="11" t="n">
        <f aca="false">Calculator!$B$5-P445-U445-V445</f>
        <v>167545</v>
      </c>
      <c r="X445" s="11" t="n">
        <f aca="false">'Tax Tables'!$B$22*(MAX(W445,0)-IF(Calculator!$B$10="Yes",MIN(MAX(W445,0),'Tax Tables'!$B$27)*'Tax Tables'!$B$28+MIN(MAX(MAX(W445,0)-'Tax Tables'!$B$27,0),'Tax Tables'!$B$29)*'Tax Tables'!$B$30,MIN(MAX(W445,0),'Tax Tables'!$B$23)*'Tax Tables'!$B$24+MIN(MAX(MAX(W445,0)-'Tax Tables'!$B$23,0),'Tax Tables'!$B$25)*'Tax Tables'!$B$26))*1-MIN('Tax Tables'!$B$22*(MAX(W445,0)-IF(Calculator!$B$10="Yes",MIN(MAX(W445,0),'Tax Tables'!$B$27)*'Tax Tables'!$B$28+MIN(MAX(MAX(W445,0)-'Tax Tables'!$B$27,0),'Tax Tables'!$B$29)*'Tax Tables'!$B$30,MIN(MAX(W445,0),'Tax Tables'!$B$23)*'Tax Tables'!$B$24+MIN(MAX(MAX(W445,0)-'Tax Tables'!$B$23,0),'Tax Tables'!$B$25)*'Tax Tables'!$B$26))*Calculator!$B$11,Calculator!$B$12)</f>
        <v>13816.325</v>
      </c>
      <c r="Y445" s="11" t="n">
        <f aca="false">MAX(W445,0)-X445</f>
        <v>153728.675</v>
      </c>
      <c r="Z445" s="11" t="n">
        <f aca="false">MIN(IF(P445&gt;0,Calculator!$B$13,0)+T445+Calculator!$B$14,'Tax Tables'!$B$36)</f>
        <v>20200</v>
      </c>
      <c r="AA445" s="11" t="n">
        <f aca="false">MAX(P445-Z445,0)</f>
        <v>195800</v>
      </c>
      <c r="AB445" s="11" t="n">
        <f aca="false">SUMPRODUCT((AA445&gt;'Tax Tables'!$A$5:$A$17)*(AA445-'Tax Tables'!$A$5:$A$17)*'Tax Tables'!$C$5:$C$17)</f>
        <v>20394</v>
      </c>
      <c r="AC445" s="11" t="n">
        <f aca="false">IF(W445&lt;0,-1E+099,P445-T445-AB445+Y445+(T445+U445)*Calculator!$B$9)</f>
        <v>365654.675</v>
      </c>
    </row>
    <row r="446" customFormat="false" ht="15" hidden="false" customHeight="false" outlineLevel="0" collapsed="false">
      <c r="A446" s="11" t="n">
        <f aca="false">433*$B$3</f>
        <v>216500</v>
      </c>
      <c r="B446" s="11" t="n">
        <f aca="false">0</f>
        <v>0</v>
      </c>
      <c r="C446" s="11" t="n">
        <f aca="false">A446-B446</f>
        <v>216500</v>
      </c>
      <c r="D446" s="11" t="n">
        <f aca="false">IF(Calculator!$B$6="Yes",MIN(B446,'Tax Tables'!$B$31*'Tax Tables'!$B$32),0)</f>
        <v>0</v>
      </c>
      <c r="E446" s="11" t="n">
        <f aca="false">D446*Calculator!$B$7</f>
        <v>0</v>
      </c>
      <c r="F446" s="11" t="n">
        <f aca="false">D446*Calculator!$B$8</f>
        <v>0</v>
      </c>
      <c r="G446" s="11" t="n">
        <f aca="false">IF(B446&gt;0,'Tax Tables'!$B$32*MIN(MAX(B446/'Tax Tables'!$B$32*'Tax Tables'!$B$33,'Tax Tables'!$B$34),'Tax Tables'!$B$35),0)</f>
        <v>0</v>
      </c>
      <c r="H446" s="11" t="n">
        <f aca="false">Calculator!$B$5-A446-F446-G446</f>
        <v>183500</v>
      </c>
      <c r="I446" s="11" t="n">
        <f aca="false">'Tax Tables'!$B$22*(MAX(H446,0)-IF(Calculator!$B$10="Yes",MIN(MAX(H446,0),'Tax Tables'!$B$27)*'Tax Tables'!$B$28+MIN(MAX(MAX(H446,0)-'Tax Tables'!$B$27,0),'Tax Tables'!$B$29)*'Tax Tables'!$B$30,MIN(MAX(H446,0),'Tax Tables'!$B$23)*'Tax Tables'!$B$24+MIN(MAX(MAX(H446,0)-'Tax Tables'!$B$23,0),'Tax Tables'!$B$25)*'Tax Tables'!$B$26))*1-MIN('Tax Tables'!$B$22*(MAX(H446,0)-IF(Calculator!$B$10="Yes",MIN(MAX(H446,0),'Tax Tables'!$B$27)*'Tax Tables'!$B$28+MIN(MAX(MAX(H446,0)-'Tax Tables'!$B$27,0),'Tax Tables'!$B$29)*'Tax Tables'!$B$30,MIN(MAX(H446,0),'Tax Tables'!$B$23)*'Tax Tables'!$B$24+MIN(MAX(MAX(H446,0)-'Tax Tables'!$B$23,0),'Tax Tables'!$B$25)*'Tax Tables'!$B$26))*Calculator!$B$11,Calculator!$B$12)</f>
        <v>15172.5</v>
      </c>
      <c r="J446" s="11" t="n">
        <f aca="false">MAX(H446,0)-I446</f>
        <v>168327.5</v>
      </c>
      <c r="K446" s="11" t="n">
        <f aca="false">MIN(IF(A446&gt;0,Calculator!$B$13,0)+E446+Calculator!$B$14,'Tax Tables'!$B$36)</f>
        <v>1000</v>
      </c>
      <c r="L446" s="11" t="n">
        <f aca="false">MAX(A446-K446,0)</f>
        <v>215500</v>
      </c>
      <c r="M446" s="11" t="n">
        <f aca="false">SUMPRODUCT((L446&gt;'Tax Tables'!$A$5:$A$17)*(L446-'Tax Tables'!$A$5:$A$17)*'Tax Tables'!$C$5:$C$17)</f>
        <v>24095</v>
      </c>
      <c r="N446" s="11" t="n">
        <f aca="false">IF(H446&lt;0,-1E+099,A446-E446-M446+J446+(E446+F446)*Calculator!$B$9)</f>
        <v>360732.5</v>
      </c>
      <c r="O446" s="2"/>
      <c r="P446" s="11" t="n">
        <f aca="false">433*$B$3</f>
        <v>216500</v>
      </c>
      <c r="Q446" s="11" t="n">
        <f aca="false">MIN(P446,'Tax Tables'!$B$31*'Tax Tables'!$B$32)</f>
        <v>96000</v>
      </c>
      <c r="R446" s="11" t="n">
        <f aca="false">P446-Q446</f>
        <v>120500</v>
      </c>
      <c r="S446" s="11" t="n">
        <f aca="false">IF(Calculator!$B$6="Yes",MIN(Q446,'Tax Tables'!$B$31*'Tax Tables'!$B$32),0)</f>
        <v>96000</v>
      </c>
      <c r="T446" s="11" t="n">
        <f aca="false">S446*Calculator!$B$7</f>
        <v>19200</v>
      </c>
      <c r="U446" s="11" t="n">
        <f aca="false">S446*Calculator!$B$8</f>
        <v>16320</v>
      </c>
      <c r="V446" s="11" t="n">
        <f aca="false">IF(Q446&gt;0,'Tax Tables'!$B$32*MIN(MAX(Q446/'Tax Tables'!$B$32*'Tax Tables'!$B$33,'Tax Tables'!$B$34),'Tax Tables'!$B$35),0)</f>
        <v>135</v>
      </c>
      <c r="W446" s="11" t="n">
        <f aca="false">Calculator!$B$5-P446-U446-V446</f>
        <v>167045</v>
      </c>
      <c r="X446" s="11" t="n">
        <f aca="false">'Tax Tables'!$B$22*(MAX(W446,0)-IF(Calculator!$B$10="Yes",MIN(MAX(W446,0),'Tax Tables'!$B$27)*'Tax Tables'!$B$28+MIN(MAX(MAX(W446,0)-'Tax Tables'!$B$27,0),'Tax Tables'!$B$29)*'Tax Tables'!$B$30,MIN(MAX(W446,0),'Tax Tables'!$B$23)*'Tax Tables'!$B$24+MIN(MAX(MAX(W446,0)-'Tax Tables'!$B$23,0),'Tax Tables'!$B$25)*'Tax Tables'!$B$26))*1-MIN('Tax Tables'!$B$22*(MAX(W446,0)-IF(Calculator!$B$10="Yes",MIN(MAX(W446,0),'Tax Tables'!$B$27)*'Tax Tables'!$B$28+MIN(MAX(MAX(W446,0)-'Tax Tables'!$B$27,0),'Tax Tables'!$B$29)*'Tax Tables'!$B$30,MIN(MAX(W446,0),'Tax Tables'!$B$23)*'Tax Tables'!$B$24+MIN(MAX(MAX(W446,0)-'Tax Tables'!$B$23,0),'Tax Tables'!$B$25)*'Tax Tables'!$B$26))*Calculator!$B$11,Calculator!$B$12)</f>
        <v>13773.825</v>
      </c>
      <c r="Y446" s="11" t="n">
        <f aca="false">MAX(W446,0)-X446</f>
        <v>153271.175</v>
      </c>
      <c r="Z446" s="11" t="n">
        <f aca="false">MIN(IF(P446&gt;0,Calculator!$B$13,0)+T446+Calculator!$B$14,'Tax Tables'!$B$36)</f>
        <v>20200</v>
      </c>
      <c r="AA446" s="11" t="n">
        <f aca="false">MAX(P446-Z446,0)</f>
        <v>196300</v>
      </c>
      <c r="AB446" s="11" t="n">
        <f aca="false">SUMPRODUCT((AA446&gt;'Tax Tables'!$A$5:$A$17)*(AA446-'Tax Tables'!$A$5:$A$17)*'Tax Tables'!$C$5:$C$17)</f>
        <v>20484</v>
      </c>
      <c r="AC446" s="11" t="n">
        <f aca="false">IF(W446&lt;0,-1E+099,P446-T446-AB446+Y446+(T446+U446)*Calculator!$B$9)</f>
        <v>365607.175</v>
      </c>
    </row>
    <row r="447" customFormat="false" ht="15" hidden="false" customHeight="false" outlineLevel="0" collapsed="false">
      <c r="A447" s="11" t="n">
        <f aca="false">434*$B$3</f>
        <v>217000</v>
      </c>
      <c r="B447" s="11" t="n">
        <f aca="false">0</f>
        <v>0</v>
      </c>
      <c r="C447" s="11" t="n">
        <f aca="false">A447-B447</f>
        <v>217000</v>
      </c>
      <c r="D447" s="11" t="n">
        <f aca="false">IF(Calculator!$B$6="Yes",MIN(B447,'Tax Tables'!$B$31*'Tax Tables'!$B$32),0)</f>
        <v>0</v>
      </c>
      <c r="E447" s="11" t="n">
        <f aca="false">D447*Calculator!$B$7</f>
        <v>0</v>
      </c>
      <c r="F447" s="11" t="n">
        <f aca="false">D447*Calculator!$B$8</f>
        <v>0</v>
      </c>
      <c r="G447" s="11" t="n">
        <f aca="false">IF(B447&gt;0,'Tax Tables'!$B$32*MIN(MAX(B447/'Tax Tables'!$B$32*'Tax Tables'!$B$33,'Tax Tables'!$B$34),'Tax Tables'!$B$35),0)</f>
        <v>0</v>
      </c>
      <c r="H447" s="11" t="n">
        <f aca="false">Calculator!$B$5-A447-F447-G447</f>
        <v>183000</v>
      </c>
      <c r="I447" s="11" t="n">
        <f aca="false">'Tax Tables'!$B$22*(MAX(H447,0)-IF(Calculator!$B$10="Yes",MIN(MAX(H447,0),'Tax Tables'!$B$27)*'Tax Tables'!$B$28+MIN(MAX(MAX(H447,0)-'Tax Tables'!$B$27,0),'Tax Tables'!$B$29)*'Tax Tables'!$B$30,MIN(MAX(H447,0),'Tax Tables'!$B$23)*'Tax Tables'!$B$24+MIN(MAX(MAX(H447,0)-'Tax Tables'!$B$23,0),'Tax Tables'!$B$25)*'Tax Tables'!$B$26))*1-MIN('Tax Tables'!$B$22*(MAX(H447,0)-IF(Calculator!$B$10="Yes",MIN(MAX(H447,0),'Tax Tables'!$B$27)*'Tax Tables'!$B$28+MIN(MAX(MAX(H447,0)-'Tax Tables'!$B$27,0),'Tax Tables'!$B$29)*'Tax Tables'!$B$30,MIN(MAX(H447,0),'Tax Tables'!$B$23)*'Tax Tables'!$B$24+MIN(MAX(MAX(H447,0)-'Tax Tables'!$B$23,0),'Tax Tables'!$B$25)*'Tax Tables'!$B$26))*Calculator!$B$11,Calculator!$B$12)</f>
        <v>15130</v>
      </c>
      <c r="J447" s="11" t="n">
        <f aca="false">MAX(H447,0)-I447</f>
        <v>167870</v>
      </c>
      <c r="K447" s="11" t="n">
        <f aca="false">MIN(IF(A447&gt;0,Calculator!$B$13,0)+E447+Calculator!$B$14,'Tax Tables'!$B$36)</f>
        <v>1000</v>
      </c>
      <c r="L447" s="11" t="n">
        <f aca="false">MAX(A447-K447,0)</f>
        <v>216000</v>
      </c>
      <c r="M447" s="11" t="n">
        <f aca="false">SUMPRODUCT((L447&gt;'Tax Tables'!$A$5:$A$17)*(L447-'Tax Tables'!$A$5:$A$17)*'Tax Tables'!$C$5:$C$17)</f>
        <v>24190</v>
      </c>
      <c r="N447" s="11" t="n">
        <f aca="false">IF(H447&lt;0,-1E+099,A447-E447-M447+J447+(E447+F447)*Calculator!$B$9)</f>
        <v>360680</v>
      </c>
      <c r="O447" s="2"/>
      <c r="P447" s="11" t="n">
        <f aca="false">434*$B$3</f>
        <v>217000</v>
      </c>
      <c r="Q447" s="11" t="n">
        <f aca="false">MIN(P447,'Tax Tables'!$B$31*'Tax Tables'!$B$32)</f>
        <v>96000</v>
      </c>
      <c r="R447" s="11" t="n">
        <f aca="false">P447-Q447</f>
        <v>121000</v>
      </c>
      <c r="S447" s="11" t="n">
        <f aca="false">IF(Calculator!$B$6="Yes",MIN(Q447,'Tax Tables'!$B$31*'Tax Tables'!$B$32),0)</f>
        <v>96000</v>
      </c>
      <c r="T447" s="11" t="n">
        <f aca="false">S447*Calculator!$B$7</f>
        <v>19200</v>
      </c>
      <c r="U447" s="11" t="n">
        <f aca="false">S447*Calculator!$B$8</f>
        <v>16320</v>
      </c>
      <c r="V447" s="11" t="n">
        <f aca="false">IF(Q447&gt;0,'Tax Tables'!$B$32*MIN(MAX(Q447/'Tax Tables'!$B$32*'Tax Tables'!$B$33,'Tax Tables'!$B$34),'Tax Tables'!$B$35),0)</f>
        <v>135</v>
      </c>
      <c r="W447" s="11" t="n">
        <f aca="false">Calculator!$B$5-P447-U447-V447</f>
        <v>166545</v>
      </c>
      <c r="X447" s="11" t="n">
        <f aca="false">'Tax Tables'!$B$22*(MAX(W447,0)-IF(Calculator!$B$10="Yes",MIN(MAX(W447,0),'Tax Tables'!$B$27)*'Tax Tables'!$B$28+MIN(MAX(MAX(W447,0)-'Tax Tables'!$B$27,0),'Tax Tables'!$B$29)*'Tax Tables'!$B$30,MIN(MAX(W447,0),'Tax Tables'!$B$23)*'Tax Tables'!$B$24+MIN(MAX(MAX(W447,0)-'Tax Tables'!$B$23,0),'Tax Tables'!$B$25)*'Tax Tables'!$B$26))*1-MIN('Tax Tables'!$B$22*(MAX(W447,0)-IF(Calculator!$B$10="Yes",MIN(MAX(W447,0),'Tax Tables'!$B$27)*'Tax Tables'!$B$28+MIN(MAX(MAX(W447,0)-'Tax Tables'!$B$27,0),'Tax Tables'!$B$29)*'Tax Tables'!$B$30,MIN(MAX(W447,0),'Tax Tables'!$B$23)*'Tax Tables'!$B$24+MIN(MAX(MAX(W447,0)-'Tax Tables'!$B$23,0),'Tax Tables'!$B$25)*'Tax Tables'!$B$26))*Calculator!$B$11,Calculator!$B$12)</f>
        <v>13731.325</v>
      </c>
      <c r="Y447" s="11" t="n">
        <f aca="false">MAX(W447,0)-X447</f>
        <v>152813.675</v>
      </c>
      <c r="Z447" s="11" t="n">
        <f aca="false">MIN(IF(P447&gt;0,Calculator!$B$13,0)+T447+Calculator!$B$14,'Tax Tables'!$B$36)</f>
        <v>20200</v>
      </c>
      <c r="AA447" s="11" t="n">
        <f aca="false">MAX(P447-Z447,0)</f>
        <v>196800</v>
      </c>
      <c r="AB447" s="11" t="n">
        <f aca="false">SUMPRODUCT((AA447&gt;'Tax Tables'!$A$5:$A$17)*(AA447-'Tax Tables'!$A$5:$A$17)*'Tax Tables'!$C$5:$C$17)</f>
        <v>20574</v>
      </c>
      <c r="AC447" s="11" t="n">
        <f aca="false">IF(W447&lt;0,-1E+099,P447-T447-AB447+Y447+(T447+U447)*Calculator!$B$9)</f>
        <v>365559.675</v>
      </c>
    </row>
    <row r="448" customFormat="false" ht="15" hidden="false" customHeight="false" outlineLevel="0" collapsed="false">
      <c r="A448" s="11" t="n">
        <f aca="false">435*$B$3</f>
        <v>217500</v>
      </c>
      <c r="B448" s="11" t="n">
        <f aca="false">0</f>
        <v>0</v>
      </c>
      <c r="C448" s="11" t="n">
        <f aca="false">A448-B448</f>
        <v>217500</v>
      </c>
      <c r="D448" s="11" t="n">
        <f aca="false">IF(Calculator!$B$6="Yes",MIN(B448,'Tax Tables'!$B$31*'Tax Tables'!$B$32),0)</f>
        <v>0</v>
      </c>
      <c r="E448" s="11" t="n">
        <f aca="false">D448*Calculator!$B$7</f>
        <v>0</v>
      </c>
      <c r="F448" s="11" t="n">
        <f aca="false">D448*Calculator!$B$8</f>
        <v>0</v>
      </c>
      <c r="G448" s="11" t="n">
        <f aca="false">IF(B448&gt;0,'Tax Tables'!$B$32*MIN(MAX(B448/'Tax Tables'!$B$32*'Tax Tables'!$B$33,'Tax Tables'!$B$34),'Tax Tables'!$B$35),0)</f>
        <v>0</v>
      </c>
      <c r="H448" s="11" t="n">
        <f aca="false">Calculator!$B$5-A448-F448-G448</f>
        <v>182500</v>
      </c>
      <c r="I448" s="11" t="n">
        <f aca="false">'Tax Tables'!$B$22*(MAX(H448,0)-IF(Calculator!$B$10="Yes",MIN(MAX(H448,0),'Tax Tables'!$B$27)*'Tax Tables'!$B$28+MIN(MAX(MAX(H448,0)-'Tax Tables'!$B$27,0),'Tax Tables'!$B$29)*'Tax Tables'!$B$30,MIN(MAX(H448,0),'Tax Tables'!$B$23)*'Tax Tables'!$B$24+MIN(MAX(MAX(H448,0)-'Tax Tables'!$B$23,0),'Tax Tables'!$B$25)*'Tax Tables'!$B$26))*1-MIN('Tax Tables'!$B$22*(MAX(H448,0)-IF(Calculator!$B$10="Yes",MIN(MAX(H448,0),'Tax Tables'!$B$27)*'Tax Tables'!$B$28+MIN(MAX(MAX(H448,0)-'Tax Tables'!$B$27,0),'Tax Tables'!$B$29)*'Tax Tables'!$B$30,MIN(MAX(H448,0),'Tax Tables'!$B$23)*'Tax Tables'!$B$24+MIN(MAX(MAX(H448,0)-'Tax Tables'!$B$23,0),'Tax Tables'!$B$25)*'Tax Tables'!$B$26))*Calculator!$B$11,Calculator!$B$12)</f>
        <v>15087.5</v>
      </c>
      <c r="J448" s="11" t="n">
        <f aca="false">MAX(H448,0)-I448</f>
        <v>167412.5</v>
      </c>
      <c r="K448" s="11" t="n">
        <f aca="false">MIN(IF(A448&gt;0,Calculator!$B$13,0)+E448+Calculator!$B$14,'Tax Tables'!$B$36)</f>
        <v>1000</v>
      </c>
      <c r="L448" s="11" t="n">
        <f aca="false">MAX(A448-K448,0)</f>
        <v>216500</v>
      </c>
      <c r="M448" s="11" t="n">
        <f aca="false">SUMPRODUCT((L448&gt;'Tax Tables'!$A$5:$A$17)*(L448-'Tax Tables'!$A$5:$A$17)*'Tax Tables'!$C$5:$C$17)</f>
        <v>24285</v>
      </c>
      <c r="N448" s="11" t="n">
        <f aca="false">IF(H448&lt;0,-1E+099,A448-E448-M448+J448+(E448+F448)*Calculator!$B$9)</f>
        <v>360627.5</v>
      </c>
      <c r="O448" s="2"/>
      <c r="P448" s="11" t="n">
        <f aca="false">435*$B$3</f>
        <v>217500</v>
      </c>
      <c r="Q448" s="11" t="n">
        <f aca="false">MIN(P448,'Tax Tables'!$B$31*'Tax Tables'!$B$32)</f>
        <v>96000</v>
      </c>
      <c r="R448" s="11" t="n">
        <f aca="false">P448-Q448</f>
        <v>121500</v>
      </c>
      <c r="S448" s="11" t="n">
        <f aca="false">IF(Calculator!$B$6="Yes",MIN(Q448,'Tax Tables'!$B$31*'Tax Tables'!$B$32),0)</f>
        <v>96000</v>
      </c>
      <c r="T448" s="11" t="n">
        <f aca="false">S448*Calculator!$B$7</f>
        <v>19200</v>
      </c>
      <c r="U448" s="11" t="n">
        <f aca="false">S448*Calculator!$B$8</f>
        <v>16320</v>
      </c>
      <c r="V448" s="11" t="n">
        <f aca="false">IF(Q448&gt;0,'Tax Tables'!$B$32*MIN(MAX(Q448/'Tax Tables'!$B$32*'Tax Tables'!$B$33,'Tax Tables'!$B$34),'Tax Tables'!$B$35),0)</f>
        <v>135</v>
      </c>
      <c r="W448" s="11" t="n">
        <f aca="false">Calculator!$B$5-P448-U448-V448</f>
        <v>166045</v>
      </c>
      <c r="X448" s="11" t="n">
        <f aca="false">'Tax Tables'!$B$22*(MAX(W448,0)-IF(Calculator!$B$10="Yes",MIN(MAX(W448,0),'Tax Tables'!$B$27)*'Tax Tables'!$B$28+MIN(MAX(MAX(W448,0)-'Tax Tables'!$B$27,0),'Tax Tables'!$B$29)*'Tax Tables'!$B$30,MIN(MAX(W448,0),'Tax Tables'!$B$23)*'Tax Tables'!$B$24+MIN(MAX(MAX(W448,0)-'Tax Tables'!$B$23,0),'Tax Tables'!$B$25)*'Tax Tables'!$B$26))*1-MIN('Tax Tables'!$B$22*(MAX(W448,0)-IF(Calculator!$B$10="Yes",MIN(MAX(W448,0),'Tax Tables'!$B$27)*'Tax Tables'!$B$28+MIN(MAX(MAX(W448,0)-'Tax Tables'!$B$27,0),'Tax Tables'!$B$29)*'Tax Tables'!$B$30,MIN(MAX(W448,0),'Tax Tables'!$B$23)*'Tax Tables'!$B$24+MIN(MAX(MAX(W448,0)-'Tax Tables'!$B$23,0),'Tax Tables'!$B$25)*'Tax Tables'!$B$26))*Calculator!$B$11,Calculator!$B$12)</f>
        <v>13688.825</v>
      </c>
      <c r="Y448" s="11" t="n">
        <f aca="false">MAX(W448,0)-X448</f>
        <v>152356.175</v>
      </c>
      <c r="Z448" s="11" t="n">
        <f aca="false">MIN(IF(P448&gt;0,Calculator!$B$13,0)+T448+Calculator!$B$14,'Tax Tables'!$B$36)</f>
        <v>20200</v>
      </c>
      <c r="AA448" s="11" t="n">
        <f aca="false">MAX(P448-Z448,0)</f>
        <v>197300</v>
      </c>
      <c r="AB448" s="11" t="n">
        <f aca="false">SUMPRODUCT((AA448&gt;'Tax Tables'!$A$5:$A$17)*(AA448-'Tax Tables'!$A$5:$A$17)*'Tax Tables'!$C$5:$C$17)</f>
        <v>20664</v>
      </c>
      <c r="AC448" s="11" t="n">
        <f aca="false">IF(W448&lt;0,-1E+099,P448-T448-AB448+Y448+(T448+U448)*Calculator!$B$9)</f>
        <v>365512.175</v>
      </c>
    </row>
    <row r="449" customFormat="false" ht="15" hidden="false" customHeight="false" outlineLevel="0" collapsed="false">
      <c r="A449" s="11" t="n">
        <f aca="false">436*$B$3</f>
        <v>218000</v>
      </c>
      <c r="B449" s="11" t="n">
        <f aca="false">0</f>
        <v>0</v>
      </c>
      <c r="C449" s="11" t="n">
        <f aca="false">A449-B449</f>
        <v>218000</v>
      </c>
      <c r="D449" s="11" t="n">
        <f aca="false">IF(Calculator!$B$6="Yes",MIN(B449,'Tax Tables'!$B$31*'Tax Tables'!$B$32),0)</f>
        <v>0</v>
      </c>
      <c r="E449" s="11" t="n">
        <f aca="false">D449*Calculator!$B$7</f>
        <v>0</v>
      </c>
      <c r="F449" s="11" t="n">
        <f aca="false">D449*Calculator!$B$8</f>
        <v>0</v>
      </c>
      <c r="G449" s="11" t="n">
        <f aca="false">IF(B449&gt;0,'Tax Tables'!$B$32*MIN(MAX(B449/'Tax Tables'!$B$32*'Tax Tables'!$B$33,'Tax Tables'!$B$34),'Tax Tables'!$B$35),0)</f>
        <v>0</v>
      </c>
      <c r="H449" s="11" t="n">
        <f aca="false">Calculator!$B$5-A449-F449-G449</f>
        <v>182000</v>
      </c>
      <c r="I449" s="11" t="n">
        <f aca="false">'Tax Tables'!$B$22*(MAX(H449,0)-IF(Calculator!$B$10="Yes",MIN(MAX(H449,0),'Tax Tables'!$B$27)*'Tax Tables'!$B$28+MIN(MAX(MAX(H449,0)-'Tax Tables'!$B$27,0),'Tax Tables'!$B$29)*'Tax Tables'!$B$30,MIN(MAX(H449,0),'Tax Tables'!$B$23)*'Tax Tables'!$B$24+MIN(MAX(MAX(H449,0)-'Tax Tables'!$B$23,0),'Tax Tables'!$B$25)*'Tax Tables'!$B$26))*1-MIN('Tax Tables'!$B$22*(MAX(H449,0)-IF(Calculator!$B$10="Yes",MIN(MAX(H449,0),'Tax Tables'!$B$27)*'Tax Tables'!$B$28+MIN(MAX(MAX(H449,0)-'Tax Tables'!$B$27,0),'Tax Tables'!$B$29)*'Tax Tables'!$B$30,MIN(MAX(H449,0),'Tax Tables'!$B$23)*'Tax Tables'!$B$24+MIN(MAX(MAX(H449,0)-'Tax Tables'!$B$23,0),'Tax Tables'!$B$25)*'Tax Tables'!$B$26))*Calculator!$B$11,Calculator!$B$12)</f>
        <v>15045</v>
      </c>
      <c r="J449" s="11" t="n">
        <f aca="false">MAX(H449,0)-I449</f>
        <v>166955</v>
      </c>
      <c r="K449" s="11" t="n">
        <f aca="false">MIN(IF(A449&gt;0,Calculator!$B$13,0)+E449+Calculator!$B$14,'Tax Tables'!$B$36)</f>
        <v>1000</v>
      </c>
      <c r="L449" s="11" t="n">
        <f aca="false">MAX(A449-K449,0)</f>
        <v>217000</v>
      </c>
      <c r="M449" s="11" t="n">
        <f aca="false">SUMPRODUCT((L449&gt;'Tax Tables'!$A$5:$A$17)*(L449-'Tax Tables'!$A$5:$A$17)*'Tax Tables'!$C$5:$C$17)</f>
        <v>24380</v>
      </c>
      <c r="N449" s="11" t="n">
        <f aca="false">IF(H449&lt;0,-1E+099,A449-E449-M449+J449+(E449+F449)*Calculator!$B$9)</f>
        <v>360575</v>
      </c>
      <c r="O449" s="2"/>
      <c r="P449" s="11" t="n">
        <f aca="false">436*$B$3</f>
        <v>218000</v>
      </c>
      <c r="Q449" s="11" t="n">
        <f aca="false">MIN(P449,'Tax Tables'!$B$31*'Tax Tables'!$B$32)</f>
        <v>96000</v>
      </c>
      <c r="R449" s="11" t="n">
        <f aca="false">P449-Q449</f>
        <v>122000</v>
      </c>
      <c r="S449" s="11" t="n">
        <f aca="false">IF(Calculator!$B$6="Yes",MIN(Q449,'Tax Tables'!$B$31*'Tax Tables'!$B$32),0)</f>
        <v>96000</v>
      </c>
      <c r="T449" s="11" t="n">
        <f aca="false">S449*Calculator!$B$7</f>
        <v>19200</v>
      </c>
      <c r="U449" s="11" t="n">
        <f aca="false">S449*Calculator!$B$8</f>
        <v>16320</v>
      </c>
      <c r="V449" s="11" t="n">
        <f aca="false">IF(Q449&gt;0,'Tax Tables'!$B$32*MIN(MAX(Q449/'Tax Tables'!$B$32*'Tax Tables'!$B$33,'Tax Tables'!$B$34),'Tax Tables'!$B$35),0)</f>
        <v>135</v>
      </c>
      <c r="W449" s="11" t="n">
        <f aca="false">Calculator!$B$5-P449-U449-V449</f>
        <v>165545</v>
      </c>
      <c r="X449" s="11" t="n">
        <f aca="false">'Tax Tables'!$B$22*(MAX(W449,0)-IF(Calculator!$B$10="Yes",MIN(MAX(W449,0),'Tax Tables'!$B$27)*'Tax Tables'!$B$28+MIN(MAX(MAX(W449,0)-'Tax Tables'!$B$27,0),'Tax Tables'!$B$29)*'Tax Tables'!$B$30,MIN(MAX(W449,0),'Tax Tables'!$B$23)*'Tax Tables'!$B$24+MIN(MAX(MAX(W449,0)-'Tax Tables'!$B$23,0),'Tax Tables'!$B$25)*'Tax Tables'!$B$26))*1-MIN('Tax Tables'!$B$22*(MAX(W449,0)-IF(Calculator!$B$10="Yes",MIN(MAX(W449,0),'Tax Tables'!$B$27)*'Tax Tables'!$B$28+MIN(MAX(MAX(W449,0)-'Tax Tables'!$B$27,0),'Tax Tables'!$B$29)*'Tax Tables'!$B$30,MIN(MAX(W449,0),'Tax Tables'!$B$23)*'Tax Tables'!$B$24+MIN(MAX(MAX(W449,0)-'Tax Tables'!$B$23,0),'Tax Tables'!$B$25)*'Tax Tables'!$B$26))*Calculator!$B$11,Calculator!$B$12)</f>
        <v>13646.325</v>
      </c>
      <c r="Y449" s="11" t="n">
        <f aca="false">MAX(W449,0)-X449</f>
        <v>151898.675</v>
      </c>
      <c r="Z449" s="11" t="n">
        <f aca="false">MIN(IF(P449&gt;0,Calculator!$B$13,0)+T449+Calculator!$B$14,'Tax Tables'!$B$36)</f>
        <v>20200</v>
      </c>
      <c r="AA449" s="11" t="n">
        <f aca="false">MAX(P449-Z449,0)</f>
        <v>197800</v>
      </c>
      <c r="AB449" s="11" t="n">
        <f aca="false">SUMPRODUCT((AA449&gt;'Tax Tables'!$A$5:$A$17)*(AA449-'Tax Tables'!$A$5:$A$17)*'Tax Tables'!$C$5:$C$17)</f>
        <v>20754</v>
      </c>
      <c r="AC449" s="11" t="n">
        <f aca="false">IF(W449&lt;0,-1E+099,P449-T449-AB449+Y449+(T449+U449)*Calculator!$B$9)</f>
        <v>365464.675</v>
      </c>
    </row>
    <row r="450" customFormat="false" ht="15" hidden="false" customHeight="false" outlineLevel="0" collapsed="false">
      <c r="A450" s="11" t="n">
        <f aca="false">437*$B$3</f>
        <v>218500</v>
      </c>
      <c r="B450" s="11" t="n">
        <f aca="false">0</f>
        <v>0</v>
      </c>
      <c r="C450" s="11" t="n">
        <f aca="false">A450-B450</f>
        <v>218500</v>
      </c>
      <c r="D450" s="11" t="n">
        <f aca="false">IF(Calculator!$B$6="Yes",MIN(B450,'Tax Tables'!$B$31*'Tax Tables'!$B$32),0)</f>
        <v>0</v>
      </c>
      <c r="E450" s="11" t="n">
        <f aca="false">D450*Calculator!$B$7</f>
        <v>0</v>
      </c>
      <c r="F450" s="11" t="n">
        <f aca="false">D450*Calculator!$B$8</f>
        <v>0</v>
      </c>
      <c r="G450" s="11" t="n">
        <f aca="false">IF(B450&gt;0,'Tax Tables'!$B$32*MIN(MAX(B450/'Tax Tables'!$B$32*'Tax Tables'!$B$33,'Tax Tables'!$B$34),'Tax Tables'!$B$35),0)</f>
        <v>0</v>
      </c>
      <c r="H450" s="11" t="n">
        <f aca="false">Calculator!$B$5-A450-F450-G450</f>
        <v>181500</v>
      </c>
      <c r="I450" s="11" t="n">
        <f aca="false">'Tax Tables'!$B$22*(MAX(H450,0)-IF(Calculator!$B$10="Yes",MIN(MAX(H450,0),'Tax Tables'!$B$27)*'Tax Tables'!$B$28+MIN(MAX(MAX(H450,0)-'Tax Tables'!$B$27,0),'Tax Tables'!$B$29)*'Tax Tables'!$B$30,MIN(MAX(H450,0),'Tax Tables'!$B$23)*'Tax Tables'!$B$24+MIN(MAX(MAX(H450,0)-'Tax Tables'!$B$23,0),'Tax Tables'!$B$25)*'Tax Tables'!$B$26))*1-MIN('Tax Tables'!$B$22*(MAX(H450,0)-IF(Calculator!$B$10="Yes",MIN(MAX(H450,0),'Tax Tables'!$B$27)*'Tax Tables'!$B$28+MIN(MAX(MAX(H450,0)-'Tax Tables'!$B$27,0),'Tax Tables'!$B$29)*'Tax Tables'!$B$30,MIN(MAX(H450,0),'Tax Tables'!$B$23)*'Tax Tables'!$B$24+MIN(MAX(MAX(H450,0)-'Tax Tables'!$B$23,0),'Tax Tables'!$B$25)*'Tax Tables'!$B$26))*Calculator!$B$11,Calculator!$B$12)</f>
        <v>15002.5</v>
      </c>
      <c r="J450" s="11" t="n">
        <f aca="false">MAX(H450,0)-I450</f>
        <v>166497.5</v>
      </c>
      <c r="K450" s="11" t="n">
        <f aca="false">MIN(IF(A450&gt;0,Calculator!$B$13,0)+E450+Calculator!$B$14,'Tax Tables'!$B$36)</f>
        <v>1000</v>
      </c>
      <c r="L450" s="11" t="n">
        <f aca="false">MAX(A450-K450,0)</f>
        <v>217500</v>
      </c>
      <c r="M450" s="11" t="n">
        <f aca="false">SUMPRODUCT((L450&gt;'Tax Tables'!$A$5:$A$17)*(L450-'Tax Tables'!$A$5:$A$17)*'Tax Tables'!$C$5:$C$17)</f>
        <v>24475</v>
      </c>
      <c r="N450" s="11" t="n">
        <f aca="false">IF(H450&lt;0,-1E+099,A450-E450-M450+J450+(E450+F450)*Calculator!$B$9)</f>
        <v>360522.5</v>
      </c>
      <c r="O450" s="2"/>
      <c r="P450" s="11" t="n">
        <f aca="false">437*$B$3</f>
        <v>218500</v>
      </c>
      <c r="Q450" s="11" t="n">
        <f aca="false">MIN(P450,'Tax Tables'!$B$31*'Tax Tables'!$B$32)</f>
        <v>96000</v>
      </c>
      <c r="R450" s="11" t="n">
        <f aca="false">P450-Q450</f>
        <v>122500</v>
      </c>
      <c r="S450" s="11" t="n">
        <f aca="false">IF(Calculator!$B$6="Yes",MIN(Q450,'Tax Tables'!$B$31*'Tax Tables'!$B$32),0)</f>
        <v>96000</v>
      </c>
      <c r="T450" s="11" t="n">
        <f aca="false">S450*Calculator!$B$7</f>
        <v>19200</v>
      </c>
      <c r="U450" s="11" t="n">
        <f aca="false">S450*Calculator!$B$8</f>
        <v>16320</v>
      </c>
      <c r="V450" s="11" t="n">
        <f aca="false">IF(Q450&gt;0,'Tax Tables'!$B$32*MIN(MAX(Q450/'Tax Tables'!$B$32*'Tax Tables'!$B$33,'Tax Tables'!$B$34),'Tax Tables'!$B$35),0)</f>
        <v>135</v>
      </c>
      <c r="W450" s="11" t="n">
        <f aca="false">Calculator!$B$5-P450-U450-V450</f>
        <v>165045</v>
      </c>
      <c r="X450" s="11" t="n">
        <f aca="false">'Tax Tables'!$B$22*(MAX(W450,0)-IF(Calculator!$B$10="Yes",MIN(MAX(W450,0),'Tax Tables'!$B$27)*'Tax Tables'!$B$28+MIN(MAX(MAX(W450,0)-'Tax Tables'!$B$27,0),'Tax Tables'!$B$29)*'Tax Tables'!$B$30,MIN(MAX(W450,0),'Tax Tables'!$B$23)*'Tax Tables'!$B$24+MIN(MAX(MAX(W450,0)-'Tax Tables'!$B$23,0),'Tax Tables'!$B$25)*'Tax Tables'!$B$26))*1-MIN('Tax Tables'!$B$22*(MAX(W450,0)-IF(Calculator!$B$10="Yes",MIN(MAX(W450,0),'Tax Tables'!$B$27)*'Tax Tables'!$B$28+MIN(MAX(MAX(W450,0)-'Tax Tables'!$B$27,0),'Tax Tables'!$B$29)*'Tax Tables'!$B$30,MIN(MAX(W450,0),'Tax Tables'!$B$23)*'Tax Tables'!$B$24+MIN(MAX(MAX(W450,0)-'Tax Tables'!$B$23,0),'Tax Tables'!$B$25)*'Tax Tables'!$B$26))*Calculator!$B$11,Calculator!$B$12)</f>
        <v>13603.825</v>
      </c>
      <c r="Y450" s="11" t="n">
        <f aca="false">MAX(W450,0)-X450</f>
        <v>151441.175</v>
      </c>
      <c r="Z450" s="11" t="n">
        <f aca="false">MIN(IF(P450&gt;0,Calculator!$B$13,0)+T450+Calculator!$B$14,'Tax Tables'!$B$36)</f>
        <v>20200</v>
      </c>
      <c r="AA450" s="11" t="n">
        <f aca="false">MAX(P450-Z450,0)</f>
        <v>198300</v>
      </c>
      <c r="AB450" s="11" t="n">
        <f aca="false">SUMPRODUCT((AA450&gt;'Tax Tables'!$A$5:$A$17)*(AA450-'Tax Tables'!$A$5:$A$17)*'Tax Tables'!$C$5:$C$17)</f>
        <v>20844</v>
      </c>
      <c r="AC450" s="11" t="n">
        <f aca="false">IF(W450&lt;0,-1E+099,P450-T450-AB450+Y450+(T450+U450)*Calculator!$B$9)</f>
        <v>365417.175</v>
      </c>
    </row>
    <row r="451" customFormat="false" ht="15" hidden="false" customHeight="false" outlineLevel="0" collapsed="false">
      <c r="A451" s="11" t="n">
        <f aca="false">438*$B$3</f>
        <v>219000</v>
      </c>
      <c r="B451" s="11" t="n">
        <f aca="false">0</f>
        <v>0</v>
      </c>
      <c r="C451" s="11" t="n">
        <f aca="false">A451-B451</f>
        <v>219000</v>
      </c>
      <c r="D451" s="11" t="n">
        <f aca="false">IF(Calculator!$B$6="Yes",MIN(B451,'Tax Tables'!$B$31*'Tax Tables'!$B$32),0)</f>
        <v>0</v>
      </c>
      <c r="E451" s="11" t="n">
        <f aca="false">D451*Calculator!$B$7</f>
        <v>0</v>
      </c>
      <c r="F451" s="11" t="n">
        <f aca="false">D451*Calculator!$B$8</f>
        <v>0</v>
      </c>
      <c r="G451" s="11" t="n">
        <f aca="false">IF(B451&gt;0,'Tax Tables'!$B$32*MIN(MAX(B451/'Tax Tables'!$B$32*'Tax Tables'!$B$33,'Tax Tables'!$B$34),'Tax Tables'!$B$35),0)</f>
        <v>0</v>
      </c>
      <c r="H451" s="11" t="n">
        <f aca="false">Calculator!$B$5-A451-F451-G451</f>
        <v>181000</v>
      </c>
      <c r="I451" s="11" t="n">
        <f aca="false">'Tax Tables'!$B$22*(MAX(H451,0)-IF(Calculator!$B$10="Yes",MIN(MAX(H451,0),'Tax Tables'!$B$27)*'Tax Tables'!$B$28+MIN(MAX(MAX(H451,0)-'Tax Tables'!$B$27,0),'Tax Tables'!$B$29)*'Tax Tables'!$B$30,MIN(MAX(H451,0),'Tax Tables'!$B$23)*'Tax Tables'!$B$24+MIN(MAX(MAX(H451,0)-'Tax Tables'!$B$23,0),'Tax Tables'!$B$25)*'Tax Tables'!$B$26))*1-MIN('Tax Tables'!$B$22*(MAX(H451,0)-IF(Calculator!$B$10="Yes",MIN(MAX(H451,0),'Tax Tables'!$B$27)*'Tax Tables'!$B$28+MIN(MAX(MAX(H451,0)-'Tax Tables'!$B$27,0),'Tax Tables'!$B$29)*'Tax Tables'!$B$30,MIN(MAX(H451,0),'Tax Tables'!$B$23)*'Tax Tables'!$B$24+MIN(MAX(MAX(H451,0)-'Tax Tables'!$B$23,0),'Tax Tables'!$B$25)*'Tax Tables'!$B$26))*Calculator!$B$11,Calculator!$B$12)</f>
        <v>14960</v>
      </c>
      <c r="J451" s="11" t="n">
        <f aca="false">MAX(H451,0)-I451</f>
        <v>166040</v>
      </c>
      <c r="K451" s="11" t="n">
        <f aca="false">MIN(IF(A451&gt;0,Calculator!$B$13,0)+E451+Calculator!$B$14,'Tax Tables'!$B$36)</f>
        <v>1000</v>
      </c>
      <c r="L451" s="11" t="n">
        <f aca="false">MAX(A451-K451,0)</f>
        <v>218000</v>
      </c>
      <c r="M451" s="11" t="n">
        <f aca="false">SUMPRODUCT((L451&gt;'Tax Tables'!$A$5:$A$17)*(L451-'Tax Tables'!$A$5:$A$17)*'Tax Tables'!$C$5:$C$17)</f>
        <v>24570</v>
      </c>
      <c r="N451" s="11" t="n">
        <f aca="false">IF(H451&lt;0,-1E+099,A451-E451-M451+J451+(E451+F451)*Calculator!$B$9)</f>
        <v>360470</v>
      </c>
      <c r="O451" s="2"/>
      <c r="P451" s="11" t="n">
        <f aca="false">438*$B$3</f>
        <v>219000</v>
      </c>
      <c r="Q451" s="11" t="n">
        <f aca="false">MIN(P451,'Tax Tables'!$B$31*'Tax Tables'!$B$32)</f>
        <v>96000</v>
      </c>
      <c r="R451" s="11" t="n">
        <f aca="false">P451-Q451</f>
        <v>123000</v>
      </c>
      <c r="S451" s="11" t="n">
        <f aca="false">IF(Calculator!$B$6="Yes",MIN(Q451,'Tax Tables'!$B$31*'Tax Tables'!$B$32),0)</f>
        <v>96000</v>
      </c>
      <c r="T451" s="11" t="n">
        <f aca="false">S451*Calculator!$B$7</f>
        <v>19200</v>
      </c>
      <c r="U451" s="11" t="n">
        <f aca="false">S451*Calculator!$B$8</f>
        <v>16320</v>
      </c>
      <c r="V451" s="11" t="n">
        <f aca="false">IF(Q451&gt;0,'Tax Tables'!$B$32*MIN(MAX(Q451/'Tax Tables'!$B$32*'Tax Tables'!$B$33,'Tax Tables'!$B$34),'Tax Tables'!$B$35),0)</f>
        <v>135</v>
      </c>
      <c r="W451" s="11" t="n">
        <f aca="false">Calculator!$B$5-P451-U451-V451</f>
        <v>164545</v>
      </c>
      <c r="X451" s="11" t="n">
        <f aca="false">'Tax Tables'!$B$22*(MAX(W451,0)-IF(Calculator!$B$10="Yes",MIN(MAX(W451,0),'Tax Tables'!$B$27)*'Tax Tables'!$B$28+MIN(MAX(MAX(W451,0)-'Tax Tables'!$B$27,0),'Tax Tables'!$B$29)*'Tax Tables'!$B$30,MIN(MAX(W451,0),'Tax Tables'!$B$23)*'Tax Tables'!$B$24+MIN(MAX(MAX(W451,0)-'Tax Tables'!$B$23,0),'Tax Tables'!$B$25)*'Tax Tables'!$B$26))*1-MIN('Tax Tables'!$B$22*(MAX(W451,0)-IF(Calculator!$B$10="Yes",MIN(MAX(W451,0),'Tax Tables'!$B$27)*'Tax Tables'!$B$28+MIN(MAX(MAX(W451,0)-'Tax Tables'!$B$27,0),'Tax Tables'!$B$29)*'Tax Tables'!$B$30,MIN(MAX(W451,0),'Tax Tables'!$B$23)*'Tax Tables'!$B$24+MIN(MAX(MAX(W451,0)-'Tax Tables'!$B$23,0),'Tax Tables'!$B$25)*'Tax Tables'!$B$26))*Calculator!$B$11,Calculator!$B$12)</f>
        <v>13561.325</v>
      </c>
      <c r="Y451" s="11" t="n">
        <f aca="false">MAX(W451,0)-X451</f>
        <v>150983.675</v>
      </c>
      <c r="Z451" s="11" t="n">
        <f aca="false">MIN(IF(P451&gt;0,Calculator!$B$13,0)+T451+Calculator!$B$14,'Tax Tables'!$B$36)</f>
        <v>20200</v>
      </c>
      <c r="AA451" s="11" t="n">
        <f aca="false">MAX(P451-Z451,0)</f>
        <v>198800</v>
      </c>
      <c r="AB451" s="11" t="n">
        <f aca="false">SUMPRODUCT((AA451&gt;'Tax Tables'!$A$5:$A$17)*(AA451-'Tax Tables'!$A$5:$A$17)*'Tax Tables'!$C$5:$C$17)</f>
        <v>20934</v>
      </c>
      <c r="AC451" s="11" t="n">
        <f aca="false">IF(W451&lt;0,-1E+099,P451-T451-AB451+Y451+(T451+U451)*Calculator!$B$9)</f>
        <v>365369.675</v>
      </c>
    </row>
    <row r="452" customFormat="false" ht="15" hidden="false" customHeight="false" outlineLevel="0" collapsed="false">
      <c r="A452" s="11" t="n">
        <f aca="false">439*$B$3</f>
        <v>219500</v>
      </c>
      <c r="B452" s="11" t="n">
        <f aca="false">0</f>
        <v>0</v>
      </c>
      <c r="C452" s="11" t="n">
        <f aca="false">A452-B452</f>
        <v>219500</v>
      </c>
      <c r="D452" s="11" t="n">
        <f aca="false">IF(Calculator!$B$6="Yes",MIN(B452,'Tax Tables'!$B$31*'Tax Tables'!$B$32),0)</f>
        <v>0</v>
      </c>
      <c r="E452" s="11" t="n">
        <f aca="false">D452*Calculator!$B$7</f>
        <v>0</v>
      </c>
      <c r="F452" s="11" t="n">
        <f aca="false">D452*Calculator!$B$8</f>
        <v>0</v>
      </c>
      <c r="G452" s="11" t="n">
        <f aca="false">IF(B452&gt;0,'Tax Tables'!$B$32*MIN(MAX(B452/'Tax Tables'!$B$32*'Tax Tables'!$B$33,'Tax Tables'!$B$34),'Tax Tables'!$B$35),0)</f>
        <v>0</v>
      </c>
      <c r="H452" s="11" t="n">
        <f aca="false">Calculator!$B$5-A452-F452-G452</f>
        <v>180500</v>
      </c>
      <c r="I452" s="11" t="n">
        <f aca="false">'Tax Tables'!$B$22*(MAX(H452,0)-IF(Calculator!$B$10="Yes",MIN(MAX(H452,0),'Tax Tables'!$B$27)*'Tax Tables'!$B$28+MIN(MAX(MAX(H452,0)-'Tax Tables'!$B$27,0),'Tax Tables'!$B$29)*'Tax Tables'!$B$30,MIN(MAX(H452,0),'Tax Tables'!$B$23)*'Tax Tables'!$B$24+MIN(MAX(MAX(H452,0)-'Tax Tables'!$B$23,0),'Tax Tables'!$B$25)*'Tax Tables'!$B$26))*1-MIN('Tax Tables'!$B$22*(MAX(H452,0)-IF(Calculator!$B$10="Yes",MIN(MAX(H452,0),'Tax Tables'!$B$27)*'Tax Tables'!$B$28+MIN(MAX(MAX(H452,0)-'Tax Tables'!$B$27,0),'Tax Tables'!$B$29)*'Tax Tables'!$B$30,MIN(MAX(H452,0),'Tax Tables'!$B$23)*'Tax Tables'!$B$24+MIN(MAX(MAX(H452,0)-'Tax Tables'!$B$23,0),'Tax Tables'!$B$25)*'Tax Tables'!$B$26))*Calculator!$B$11,Calculator!$B$12)</f>
        <v>14917.5</v>
      </c>
      <c r="J452" s="11" t="n">
        <f aca="false">MAX(H452,0)-I452</f>
        <v>165582.5</v>
      </c>
      <c r="K452" s="11" t="n">
        <f aca="false">MIN(IF(A452&gt;0,Calculator!$B$13,0)+E452+Calculator!$B$14,'Tax Tables'!$B$36)</f>
        <v>1000</v>
      </c>
      <c r="L452" s="11" t="n">
        <f aca="false">MAX(A452-K452,0)</f>
        <v>218500</v>
      </c>
      <c r="M452" s="11" t="n">
        <f aca="false">SUMPRODUCT((L452&gt;'Tax Tables'!$A$5:$A$17)*(L452-'Tax Tables'!$A$5:$A$17)*'Tax Tables'!$C$5:$C$17)</f>
        <v>24665</v>
      </c>
      <c r="N452" s="11" t="n">
        <f aca="false">IF(H452&lt;0,-1E+099,A452-E452-M452+J452+(E452+F452)*Calculator!$B$9)</f>
        <v>360417.5</v>
      </c>
      <c r="O452" s="2"/>
      <c r="P452" s="11" t="n">
        <f aca="false">439*$B$3</f>
        <v>219500</v>
      </c>
      <c r="Q452" s="11" t="n">
        <f aca="false">MIN(P452,'Tax Tables'!$B$31*'Tax Tables'!$B$32)</f>
        <v>96000</v>
      </c>
      <c r="R452" s="11" t="n">
        <f aca="false">P452-Q452</f>
        <v>123500</v>
      </c>
      <c r="S452" s="11" t="n">
        <f aca="false">IF(Calculator!$B$6="Yes",MIN(Q452,'Tax Tables'!$B$31*'Tax Tables'!$B$32),0)</f>
        <v>96000</v>
      </c>
      <c r="T452" s="11" t="n">
        <f aca="false">S452*Calculator!$B$7</f>
        <v>19200</v>
      </c>
      <c r="U452" s="11" t="n">
        <f aca="false">S452*Calculator!$B$8</f>
        <v>16320</v>
      </c>
      <c r="V452" s="11" t="n">
        <f aca="false">IF(Q452&gt;0,'Tax Tables'!$B$32*MIN(MAX(Q452/'Tax Tables'!$B$32*'Tax Tables'!$B$33,'Tax Tables'!$B$34),'Tax Tables'!$B$35),0)</f>
        <v>135</v>
      </c>
      <c r="W452" s="11" t="n">
        <f aca="false">Calculator!$B$5-P452-U452-V452</f>
        <v>164045</v>
      </c>
      <c r="X452" s="11" t="n">
        <f aca="false">'Tax Tables'!$B$22*(MAX(W452,0)-IF(Calculator!$B$10="Yes",MIN(MAX(W452,0),'Tax Tables'!$B$27)*'Tax Tables'!$B$28+MIN(MAX(MAX(W452,0)-'Tax Tables'!$B$27,0),'Tax Tables'!$B$29)*'Tax Tables'!$B$30,MIN(MAX(W452,0),'Tax Tables'!$B$23)*'Tax Tables'!$B$24+MIN(MAX(MAX(W452,0)-'Tax Tables'!$B$23,0),'Tax Tables'!$B$25)*'Tax Tables'!$B$26))*1-MIN('Tax Tables'!$B$22*(MAX(W452,0)-IF(Calculator!$B$10="Yes",MIN(MAX(W452,0),'Tax Tables'!$B$27)*'Tax Tables'!$B$28+MIN(MAX(MAX(W452,0)-'Tax Tables'!$B$27,0),'Tax Tables'!$B$29)*'Tax Tables'!$B$30,MIN(MAX(W452,0),'Tax Tables'!$B$23)*'Tax Tables'!$B$24+MIN(MAX(MAX(W452,0)-'Tax Tables'!$B$23,0),'Tax Tables'!$B$25)*'Tax Tables'!$B$26))*Calculator!$B$11,Calculator!$B$12)</f>
        <v>13518.825</v>
      </c>
      <c r="Y452" s="11" t="n">
        <f aca="false">MAX(W452,0)-X452</f>
        <v>150526.175</v>
      </c>
      <c r="Z452" s="11" t="n">
        <f aca="false">MIN(IF(P452&gt;0,Calculator!$B$13,0)+T452+Calculator!$B$14,'Tax Tables'!$B$36)</f>
        <v>20200</v>
      </c>
      <c r="AA452" s="11" t="n">
        <f aca="false">MAX(P452-Z452,0)</f>
        <v>199300</v>
      </c>
      <c r="AB452" s="11" t="n">
        <f aca="false">SUMPRODUCT((AA452&gt;'Tax Tables'!$A$5:$A$17)*(AA452-'Tax Tables'!$A$5:$A$17)*'Tax Tables'!$C$5:$C$17)</f>
        <v>21024</v>
      </c>
      <c r="AC452" s="11" t="n">
        <f aca="false">IF(W452&lt;0,-1E+099,P452-T452-AB452+Y452+(T452+U452)*Calculator!$B$9)</f>
        <v>365322.175</v>
      </c>
    </row>
    <row r="453" customFormat="false" ht="15" hidden="false" customHeight="false" outlineLevel="0" collapsed="false">
      <c r="A453" s="11" t="n">
        <f aca="false">440*$B$3</f>
        <v>220000</v>
      </c>
      <c r="B453" s="11" t="n">
        <f aca="false">0</f>
        <v>0</v>
      </c>
      <c r="C453" s="11" t="n">
        <f aca="false">A453-B453</f>
        <v>220000</v>
      </c>
      <c r="D453" s="11" t="n">
        <f aca="false">IF(Calculator!$B$6="Yes",MIN(B453,'Tax Tables'!$B$31*'Tax Tables'!$B$32),0)</f>
        <v>0</v>
      </c>
      <c r="E453" s="11" t="n">
        <f aca="false">D453*Calculator!$B$7</f>
        <v>0</v>
      </c>
      <c r="F453" s="11" t="n">
        <f aca="false">D453*Calculator!$B$8</f>
        <v>0</v>
      </c>
      <c r="G453" s="11" t="n">
        <f aca="false">IF(B453&gt;0,'Tax Tables'!$B$32*MIN(MAX(B453/'Tax Tables'!$B$32*'Tax Tables'!$B$33,'Tax Tables'!$B$34),'Tax Tables'!$B$35),0)</f>
        <v>0</v>
      </c>
      <c r="H453" s="11" t="n">
        <f aca="false">Calculator!$B$5-A453-F453-G453</f>
        <v>180000</v>
      </c>
      <c r="I453" s="11" t="n">
        <f aca="false">'Tax Tables'!$B$22*(MAX(H453,0)-IF(Calculator!$B$10="Yes",MIN(MAX(H453,0),'Tax Tables'!$B$27)*'Tax Tables'!$B$28+MIN(MAX(MAX(H453,0)-'Tax Tables'!$B$27,0),'Tax Tables'!$B$29)*'Tax Tables'!$B$30,MIN(MAX(H453,0),'Tax Tables'!$B$23)*'Tax Tables'!$B$24+MIN(MAX(MAX(H453,0)-'Tax Tables'!$B$23,0),'Tax Tables'!$B$25)*'Tax Tables'!$B$26))*1-MIN('Tax Tables'!$B$22*(MAX(H453,0)-IF(Calculator!$B$10="Yes",MIN(MAX(H453,0),'Tax Tables'!$B$27)*'Tax Tables'!$B$28+MIN(MAX(MAX(H453,0)-'Tax Tables'!$B$27,0),'Tax Tables'!$B$29)*'Tax Tables'!$B$30,MIN(MAX(H453,0),'Tax Tables'!$B$23)*'Tax Tables'!$B$24+MIN(MAX(MAX(H453,0)-'Tax Tables'!$B$23,0),'Tax Tables'!$B$25)*'Tax Tables'!$B$26))*Calculator!$B$11,Calculator!$B$12)</f>
        <v>14875</v>
      </c>
      <c r="J453" s="11" t="n">
        <f aca="false">MAX(H453,0)-I453</f>
        <v>165125</v>
      </c>
      <c r="K453" s="11" t="n">
        <f aca="false">MIN(IF(A453&gt;0,Calculator!$B$13,0)+E453+Calculator!$B$14,'Tax Tables'!$B$36)</f>
        <v>1000</v>
      </c>
      <c r="L453" s="11" t="n">
        <f aca="false">MAX(A453-K453,0)</f>
        <v>219000</v>
      </c>
      <c r="M453" s="11" t="n">
        <f aca="false">SUMPRODUCT((L453&gt;'Tax Tables'!$A$5:$A$17)*(L453-'Tax Tables'!$A$5:$A$17)*'Tax Tables'!$C$5:$C$17)</f>
        <v>24760</v>
      </c>
      <c r="N453" s="11" t="n">
        <f aca="false">IF(H453&lt;0,-1E+099,A453-E453-M453+J453+(E453+F453)*Calculator!$B$9)</f>
        <v>360365</v>
      </c>
      <c r="O453" s="2"/>
      <c r="P453" s="11" t="n">
        <f aca="false">440*$B$3</f>
        <v>220000</v>
      </c>
      <c r="Q453" s="11" t="n">
        <f aca="false">MIN(P453,'Tax Tables'!$B$31*'Tax Tables'!$B$32)</f>
        <v>96000</v>
      </c>
      <c r="R453" s="11" t="n">
        <f aca="false">P453-Q453</f>
        <v>124000</v>
      </c>
      <c r="S453" s="11" t="n">
        <f aca="false">IF(Calculator!$B$6="Yes",MIN(Q453,'Tax Tables'!$B$31*'Tax Tables'!$B$32),0)</f>
        <v>96000</v>
      </c>
      <c r="T453" s="11" t="n">
        <f aca="false">S453*Calculator!$B$7</f>
        <v>19200</v>
      </c>
      <c r="U453" s="11" t="n">
        <f aca="false">S453*Calculator!$B$8</f>
        <v>16320</v>
      </c>
      <c r="V453" s="11" t="n">
        <f aca="false">IF(Q453&gt;0,'Tax Tables'!$B$32*MIN(MAX(Q453/'Tax Tables'!$B$32*'Tax Tables'!$B$33,'Tax Tables'!$B$34),'Tax Tables'!$B$35),0)</f>
        <v>135</v>
      </c>
      <c r="W453" s="11" t="n">
        <f aca="false">Calculator!$B$5-P453-U453-V453</f>
        <v>163545</v>
      </c>
      <c r="X453" s="11" t="n">
        <f aca="false">'Tax Tables'!$B$22*(MAX(W453,0)-IF(Calculator!$B$10="Yes",MIN(MAX(W453,0),'Tax Tables'!$B$27)*'Tax Tables'!$B$28+MIN(MAX(MAX(W453,0)-'Tax Tables'!$B$27,0),'Tax Tables'!$B$29)*'Tax Tables'!$B$30,MIN(MAX(W453,0),'Tax Tables'!$B$23)*'Tax Tables'!$B$24+MIN(MAX(MAX(W453,0)-'Tax Tables'!$B$23,0),'Tax Tables'!$B$25)*'Tax Tables'!$B$26))*1-MIN('Tax Tables'!$B$22*(MAX(W453,0)-IF(Calculator!$B$10="Yes",MIN(MAX(W453,0),'Tax Tables'!$B$27)*'Tax Tables'!$B$28+MIN(MAX(MAX(W453,0)-'Tax Tables'!$B$27,0),'Tax Tables'!$B$29)*'Tax Tables'!$B$30,MIN(MAX(W453,0),'Tax Tables'!$B$23)*'Tax Tables'!$B$24+MIN(MAX(MAX(W453,0)-'Tax Tables'!$B$23,0),'Tax Tables'!$B$25)*'Tax Tables'!$B$26))*Calculator!$B$11,Calculator!$B$12)</f>
        <v>13476.325</v>
      </c>
      <c r="Y453" s="11" t="n">
        <f aca="false">MAX(W453,0)-X453</f>
        <v>150068.675</v>
      </c>
      <c r="Z453" s="11" t="n">
        <f aca="false">MIN(IF(P453&gt;0,Calculator!$B$13,0)+T453+Calculator!$B$14,'Tax Tables'!$B$36)</f>
        <v>20200</v>
      </c>
      <c r="AA453" s="11" t="n">
        <f aca="false">MAX(P453-Z453,0)</f>
        <v>199800</v>
      </c>
      <c r="AB453" s="11" t="n">
        <f aca="false">SUMPRODUCT((AA453&gt;'Tax Tables'!$A$5:$A$17)*(AA453-'Tax Tables'!$A$5:$A$17)*'Tax Tables'!$C$5:$C$17)</f>
        <v>21114</v>
      </c>
      <c r="AC453" s="11" t="n">
        <f aca="false">IF(W453&lt;0,-1E+099,P453-T453-AB453+Y453+(T453+U453)*Calculator!$B$9)</f>
        <v>365274.675</v>
      </c>
    </row>
    <row r="454" customFormat="false" ht="15" hidden="false" customHeight="false" outlineLevel="0" collapsed="false">
      <c r="A454" s="11" t="n">
        <f aca="false">441*$B$3</f>
        <v>220500</v>
      </c>
      <c r="B454" s="11" t="n">
        <f aca="false">0</f>
        <v>0</v>
      </c>
      <c r="C454" s="11" t="n">
        <f aca="false">A454-B454</f>
        <v>220500</v>
      </c>
      <c r="D454" s="11" t="n">
        <f aca="false">IF(Calculator!$B$6="Yes",MIN(B454,'Tax Tables'!$B$31*'Tax Tables'!$B$32),0)</f>
        <v>0</v>
      </c>
      <c r="E454" s="11" t="n">
        <f aca="false">D454*Calculator!$B$7</f>
        <v>0</v>
      </c>
      <c r="F454" s="11" t="n">
        <f aca="false">D454*Calculator!$B$8</f>
        <v>0</v>
      </c>
      <c r="G454" s="11" t="n">
        <f aca="false">IF(B454&gt;0,'Tax Tables'!$B$32*MIN(MAX(B454/'Tax Tables'!$B$32*'Tax Tables'!$B$33,'Tax Tables'!$B$34),'Tax Tables'!$B$35),0)</f>
        <v>0</v>
      </c>
      <c r="H454" s="11" t="n">
        <f aca="false">Calculator!$B$5-A454-F454-G454</f>
        <v>179500</v>
      </c>
      <c r="I454" s="11" t="n">
        <f aca="false">'Tax Tables'!$B$22*(MAX(H454,0)-IF(Calculator!$B$10="Yes",MIN(MAX(H454,0),'Tax Tables'!$B$27)*'Tax Tables'!$B$28+MIN(MAX(MAX(H454,0)-'Tax Tables'!$B$27,0),'Tax Tables'!$B$29)*'Tax Tables'!$B$30,MIN(MAX(H454,0),'Tax Tables'!$B$23)*'Tax Tables'!$B$24+MIN(MAX(MAX(H454,0)-'Tax Tables'!$B$23,0),'Tax Tables'!$B$25)*'Tax Tables'!$B$26))*1-MIN('Tax Tables'!$B$22*(MAX(H454,0)-IF(Calculator!$B$10="Yes",MIN(MAX(H454,0),'Tax Tables'!$B$27)*'Tax Tables'!$B$28+MIN(MAX(MAX(H454,0)-'Tax Tables'!$B$27,0),'Tax Tables'!$B$29)*'Tax Tables'!$B$30,MIN(MAX(H454,0),'Tax Tables'!$B$23)*'Tax Tables'!$B$24+MIN(MAX(MAX(H454,0)-'Tax Tables'!$B$23,0),'Tax Tables'!$B$25)*'Tax Tables'!$B$26))*Calculator!$B$11,Calculator!$B$12)</f>
        <v>14832.5</v>
      </c>
      <c r="J454" s="11" t="n">
        <f aca="false">MAX(H454,0)-I454</f>
        <v>164667.5</v>
      </c>
      <c r="K454" s="11" t="n">
        <f aca="false">MIN(IF(A454&gt;0,Calculator!$B$13,0)+E454+Calculator!$B$14,'Tax Tables'!$B$36)</f>
        <v>1000</v>
      </c>
      <c r="L454" s="11" t="n">
        <f aca="false">MAX(A454-K454,0)</f>
        <v>219500</v>
      </c>
      <c r="M454" s="11" t="n">
        <f aca="false">SUMPRODUCT((L454&gt;'Tax Tables'!$A$5:$A$17)*(L454-'Tax Tables'!$A$5:$A$17)*'Tax Tables'!$C$5:$C$17)</f>
        <v>24855</v>
      </c>
      <c r="N454" s="11" t="n">
        <f aca="false">IF(H454&lt;0,-1E+099,A454-E454-M454+J454+(E454+F454)*Calculator!$B$9)</f>
        <v>360312.5</v>
      </c>
      <c r="O454" s="2"/>
      <c r="P454" s="11" t="n">
        <f aca="false">441*$B$3</f>
        <v>220500</v>
      </c>
      <c r="Q454" s="11" t="n">
        <f aca="false">MIN(P454,'Tax Tables'!$B$31*'Tax Tables'!$B$32)</f>
        <v>96000</v>
      </c>
      <c r="R454" s="11" t="n">
        <f aca="false">P454-Q454</f>
        <v>124500</v>
      </c>
      <c r="S454" s="11" t="n">
        <f aca="false">IF(Calculator!$B$6="Yes",MIN(Q454,'Tax Tables'!$B$31*'Tax Tables'!$B$32),0)</f>
        <v>96000</v>
      </c>
      <c r="T454" s="11" t="n">
        <f aca="false">S454*Calculator!$B$7</f>
        <v>19200</v>
      </c>
      <c r="U454" s="11" t="n">
        <f aca="false">S454*Calculator!$B$8</f>
        <v>16320</v>
      </c>
      <c r="V454" s="11" t="n">
        <f aca="false">IF(Q454&gt;0,'Tax Tables'!$B$32*MIN(MAX(Q454/'Tax Tables'!$B$32*'Tax Tables'!$B$33,'Tax Tables'!$B$34),'Tax Tables'!$B$35),0)</f>
        <v>135</v>
      </c>
      <c r="W454" s="11" t="n">
        <f aca="false">Calculator!$B$5-P454-U454-V454</f>
        <v>163045</v>
      </c>
      <c r="X454" s="11" t="n">
        <f aca="false">'Tax Tables'!$B$22*(MAX(W454,0)-IF(Calculator!$B$10="Yes",MIN(MAX(W454,0),'Tax Tables'!$B$27)*'Tax Tables'!$B$28+MIN(MAX(MAX(W454,0)-'Tax Tables'!$B$27,0),'Tax Tables'!$B$29)*'Tax Tables'!$B$30,MIN(MAX(W454,0),'Tax Tables'!$B$23)*'Tax Tables'!$B$24+MIN(MAX(MAX(W454,0)-'Tax Tables'!$B$23,0),'Tax Tables'!$B$25)*'Tax Tables'!$B$26))*1-MIN('Tax Tables'!$B$22*(MAX(W454,0)-IF(Calculator!$B$10="Yes",MIN(MAX(W454,0),'Tax Tables'!$B$27)*'Tax Tables'!$B$28+MIN(MAX(MAX(W454,0)-'Tax Tables'!$B$27,0),'Tax Tables'!$B$29)*'Tax Tables'!$B$30,MIN(MAX(W454,0),'Tax Tables'!$B$23)*'Tax Tables'!$B$24+MIN(MAX(MAX(W454,0)-'Tax Tables'!$B$23,0),'Tax Tables'!$B$25)*'Tax Tables'!$B$26))*Calculator!$B$11,Calculator!$B$12)</f>
        <v>13433.825</v>
      </c>
      <c r="Y454" s="11" t="n">
        <f aca="false">MAX(W454,0)-X454</f>
        <v>149611.175</v>
      </c>
      <c r="Z454" s="11" t="n">
        <f aca="false">MIN(IF(P454&gt;0,Calculator!$B$13,0)+T454+Calculator!$B$14,'Tax Tables'!$B$36)</f>
        <v>20200</v>
      </c>
      <c r="AA454" s="11" t="n">
        <f aca="false">MAX(P454-Z454,0)</f>
        <v>200300</v>
      </c>
      <c r="AB454" s="11" t="n">
        <f aca="false">SUMPRODUCT((AA454&gt;'Tax Tables'!$A$5:$A$17)*(AA454-'Tax Tables'!$A$5:$A$17)*'Tax Tables'!$C$5:$C$17)</f>
        <v>21207</v>
      </c>
      <c r="AC454" s="11" t="n">
        <f aca="false">IF(W454&lt;0,-1E+099,P454-T454-AB454+Y454+(T454+U454)*Calculator!$B$9)</f>
        <v>365224.175</v>
      </c>
    </row>
    <row r="455" customFormat="false" ht="15" hidden="false" customHeight="false" outlineLevel="0" collapsed="false">
      <c r="A455" s="11" t="n">
        <f aca="false">442*$B$3</f>
        <v>221000</v>
      </c>
      <c r="B455" s="11" t="n">
        <f aca="false">0</f>
        <v>0</v>
      </c>
      <c r="C455" s="11" t="n">
        <f aca="false">A455-B455</f>
        <v>221000</v>
      </c>
      <c r="D455" s="11" t="n">
        <f aca="false">IF(Calculator!$B$6="Yes",MIN(B455,'Tax Tables'!$B$31*'Tax Tables'!$B$32),0)</f>
        <v>0</v>
      </c>
      <c r="E455" s="11" t="n">
        <f aca="false">D455*Calculator!$B$7</f>
        <v>0</v>
      </c>
      <c r="F455" s="11" t="n">
        <f aca="false">D455*Calculator!$B$8</f>
        <v>0</v>
      </c>
      <c r="G455" s="11" t="n">
        <f aca="false">IF(B455&gt;0,'Tax Tables'!$B$32*MIN(MAX(B455/'Tax Tables'!$B$32*'Tax Tables'!$B$33,'Tax Tables'!$B$34),'Tax Tables'!$B$35),0)</f>
        <v>0</v>
      </c>
      <c r="H455" s="11" t="n">
        <f aca="false">Calculator!$B$5-A455-F455-G455</f>
        <v>179000</v>
      </c>
      <c r="I455" s="11" t="n">
        <f aca="false">'Tax Tables'!$B$22*(MAX(H455,0)-IF(Calculator!$B$10="Yes",MIN(MAX(H455,0),'Tax Tables'!$B$27)*'Tax Tables'!$B$28+MIN(MAX(MAX(H455,0)-'Tax Tables'!$B$27,0),'Tax Tables'!$B$29)*'Tax Tables'!$B$30,MIN(MAX(H455,0),'Tax Tables'!$B$23)*'Tax Tables'!$B$24+MIN(MAX(MAX(H455,0)-'Tax Tables'!$B$23,0),'Tax Tables'!$B$25)*'Tax Tables'!$B$26))*1-MIN('Tax Tables'!$B$22*(MAX(H455,0)-IF(Calculator!$B$10="Yes",MIN(MAX(H455,0),'Tax Tables'!$B$27)*'Tax Tables'!$B$28+MIN(MAX(MAX(H455,0)-'Tax Tables'!$B$27,0),'Tax Tables'!$B$29)*'Tax Tables'!$B$30,MIN(MAX(H455,0),'Tax Tables'!$B$23)*'Tax Tables'!$B$24+MIN(MAX(MAX(H455,0)-'Tax Tables'!$B$23,0),'Tax Tables'!$B$25)*'Tax Tables'!$B$26))*Calculator!$B$11,Calculator!$B$12)</f>
        <v>14790</v>
      </c>
      <c r="J455" s="11" t="n">
        <f aca="false">MAX(H455,0)-I455</f>
        <v>164210</v>
      </c>
      <c r="K455" s="11" t="n">
        <f aca="false">MIN(IF(A455&gt;0,Calculator!$B$13,0)+E455+Calculator!$B$14,'Tax Tables'!$B$36)</f>
        <v>1000</v>
      </c>
      <c r="L455" s="11" t="n">
        <f aca="false">MAX(A455-K455,0)</f>
        <v>220000</v>
      </c>
      <c r="M455" s="11" t="n">
        <f aca="false">SUMPRODUCT((L455&gt;'Tax Tables'!$A$5:$A$17)*(L455-'Tax Tables'!$A$5:$A$17)*'Tax Tables'!$C$5:$C$17)</f>
        <v>24950</v>
      </c>
      <c r="N455" s="11" t="n">
        <f aca="false">IF(H455&lt;0,-1E+099,A455-E455-M455+J455+(E455+F455)*Calculator!$B$9)</f>
        <v>360260</v>
      </c>
      <c r="O455" s="2"/>
      <c r="P455" s="11" t="n">
        <f aca="false">442*$B$3</f>
        <v>221000</v>
      </c>
      <c r="Q455" s="11" t="n">
        <f aca="false">MIN(P455,'Tax Tables'!$B$31*'Tax Tables'!$B$32)</f>
        <v>96000</v>
      </c>
      <c r="R455" s="11" t="n">
        <f aca="false">P455-Q455</f>
        <v>125000</v>
      </c>
      <c r="S455" s="11" t="n">
        <f aca="false">IF(Calculator!$B$6="Yes",MIN(Q455,'Tax Tables'!$B$31*'Tax Tables'!$B$32),0)</f>
        <v>96000</v>
      </c>
      <c r="T455" s="11" t="n">
        <f aca="false">S455*Calculator!$B$7</f>
        <v>19200</v>
      </c>
      <c r="U455" s="11" t="n">
        <f aca="false">S455*Calculator!$B$8</f>
        <v>16320</v>
      </c>
      <c r="V455" s="11" t="n">
        <f aca="false">IF(Q455&gt;0,'Tax Tables'!$B$32*MIN(MAX(Q455/'Tax Tables'!$B$32*'Tax Tables'!$B$33,'Tax Tables'!$B$34),'Tax Tables'!$B$35),0)</f>
        <v>135</v>
      </c>
      <c r="W455" s="11" t="n">
        <f aca="false">Calculator!$B$5-P455-U455-V455</f>
        <v>162545</v>
      </c>
      <c r="X455" s="11" t="n">
        <f aca="false">'Tax Tables'!$B$22*(MAX(W455,0)-IF(Calculator!$B$10="Yes",MIN(MAX(W455,0),'Tax Tables'!$B$27)*'Tax Tables'!$B$28+MIN(MAX(MAX(W455,0)-'Tax Tables'!$B$27,0),'Tax Tables'!$B$29)*'Tax Tables'!$B$30,MIN(MAX(W455,0),'Tax Tables'!$B$23)*'Tax Tables'!$B$24+MIN(MAX(MAX(W455,0)-'Tax Tables'!$B$23,0),'Tax Tables'!$B$25)*'Tax Tables'!$B$26))*1-MIN('Tax Tables'!$B$22*(MAX(W455,0)-IF(Calculator!$B$10="Yes",MIN(MAX(W455,0),'Tax Tables'!$B$27)*'Tax Tables'!$B$28+MIN(MAX(MAX(W455,0)-'Tax Tables'!$B$27,0),'Tax Tables'!$B$29)*'Tax Tables'!$B$30,MIN(MAX(W455,0),'Tax Tables'!$B$23)*'Tax Tables'!$B$24+MIN(MAX(MAX(W455,0)-'Tax Tables'!$B$23,0),'Tax Tables'!$B$25)*'Tax Tables'!$B$26))*Calculator!$B$11,Calculator!$B$12)</f>
        <v>13391.325</v>
      </c>
      <c r="Y455" s="11" t="n">
        <f aca="false">MAX(W455,0)-X455</f>
        <v>149153.675</v>
      </c>
      <c r="Z455" s="11" t="n">
        <f aca="false">MIN(IF(P455&gt;0,Calculator!$B$13,0)+T455+Calculator!$B$14,'Tax Tables'!$B$36)</f>
        <v>20200</v>
      </c>
      <c r="AA455" s="11" t="n">
        <f aca="false">MAX(P455-Z455,0)</f>
        <v>200800</v>
      </c>
      <c r="AB455" s="11" t="n">
        <f aca="false">SUMPRODUCT((AA455&gt;'Tax Tables'!$A$5:$A$17)*(AA455-'Tax Tables'!$A$5:$A$17)*'Tax Tables'!$C$5:$C$17)</f>
        <v>21302</v>
      </c>
      <c r="AC455" s="11" t="n">
        <f aca="false">IF(W455&lt;0,-1E+099,P455-T455-AB455+Y455+(T455+U455)*Calculator!$B$9)</f>
        <v>365171.675</v>
      </c>
    </row>
    <row r="456" customFormat="false" ht="15" hidden="false" customHeight="false" outlineLevel="0" collapsed="false">
      <c r="A456" s="11" t="n">
        <f aca="false">443*$B$3</f>
        <v>221500</v>
      </c>
      <c r="B456" s="11" t="n">
        <f aca="false">0</f>
        <v>0</v>
      </c>
      <c r="C456" s="11" t="n">
        <f aca="false">A456-B456</f>
        <v>221500</v>
      </c>
      <c r="D456" s="11" t="n">
        <f aca="false">IF(Calculator!$B$6="Yes",MIN(B456,'Tax Tables'!$B$31*'Tax Tables'!$B$32),0)</f>
        <v>0</v>
      </c>
      <c r="E456" s="11" t="n">
        <f aca="false">D456*Calculator!$B$7</f>
        <v>0</v>
      </c>
      <c r="F456" s="11" t="n">
        <f aca="false">D456*Calculator!$B$8</f>
        <v>0</v>
      </c>
      <c r="G456" s="11" t="n">
        <f aca="false">IF(B456&gt;0,'Tax Tables'!$B$32*MIN(MAX(B456/'Tax Tables'!$B$32*'Tax Tables'!$B$33,'Tax Tables'!$B$34),'Tax Tables'!$B$35),0)</f>
        <v>0</v>
      </c>
      <c r="H456" s="11" t="n">
        <f aca="false">Calculator!$B$5-A456-F456-G456</f>
        <v>178500</v>
      </c>
      <c r="I456" s="11" t="n">
        <f aca="false">'Tax Tables'!$B$22*(MAX(H456,0)-IF(Calculator!$B$10="Yes",MIN(MAX(H456,0),'Tax Tables'!$B$27)*'Tax Tables'!$B$28+MIN(MAX(MAX(H456,0)-'Tax Tables'!$B$27,0),'Tax Tables'!$B$29)*'Tax Tables'!$B$30,MIN(MAX(H456,0),'Tax Tables'!$B$23)*'Tax Tables'!$B$24+MIN(MAX(MAX(H456,0)-'Tax Tables'!$B$23,0),'Tax Tables'!$B$25)*'Tax Tables'!$B$26))*1-MIN('Tax Tables'!$B$22*(MAX(H456,0)-IF(Calculator!$B$10="Yes",MIN(MAX(H456,0),'Tax Tables'!$B$27)*'Tax Tables'!$B$28+MIN(MAX(MAX(H456,0)-'Tax Tables'!$B$27,0),'Tax Tables'!$B$29)*'Tax Tables'!$B$30,MIN(MAX(H456,0),'Tax Tables'!$B$23)*'Tax Tables'!$B$24+MIN(MAX(MAX(H456,0)-'Tax Tables'!$B$23,0),'Tax Tables'!$B$25)*'Tax Tables'!$B$26))*Calculator!$B$11,Calculator!$B$12)</f>
        <v>14747.5</v>
      </c>
      <c r="J456" s="11" t="n">
        <f aca="false">MAX(H456,0)-I456</f>
        <v>163752.5</v>
      </c>
      <c r="K456" s="11" t="n">
        <f aca="false">MIN(IF(A456&gt;0,Calculator!$B$13,0)+E456+Calculator!$B$14,'Tax Tables'!$B$36)</f>
        <v>1000</v>
      </c>
      <c r="L456" s="11" t="n">
        <f aca="false">MAX(A456-K456,0)</f>
        <v>220500</v>
      </c>
      <c r="M456" s="11" t="n">
        <f aca="false">SUMPRODUCT((L456&gt;'Tax Tables'!$A$5:$A$17)*(L456-'Tax Tables'!$A$5:$A$17)*'Tax Tables'!$C$5:$C$17)</f>
        <v>25045</v>
      </c>
      <c r="N456" s="11" t="n">
        <f aca="false">IF(H456&lt;0,-1E+099,A456-E456-M456+J456+(E456+F456)*Calculator!$B$9)</f>
        <v>360207.5</v>
      </c>
      <c r="O456" s="2"/>
      <c r="P456" s="11" t="n">
        <f aca="false">443*$B$3</f>
        <v>221500</v>
      </c>
      <c r="Q456" s="11" t="n">
        <f aca="false">MIN(P456,'Tax Tables'!$B$31*'Tax Tables'!$B$32)</f>
        <v>96000</v>
      </c>
      <c r="R456" s="11" t="n">
        <f aca="false">P456-Q456</f>
        <v>125500</v>
      </c>
      <c r="S456" s="11" t="n">
        <f aca="false">IF(Calculator!$B$6="Yes",MIN(Q456,'Tax Tables'!$B$31*'Tax Tables'!$B$32),0)</f>
        <v>96000</v>
      </c>
      <c r="T456" s="11" t="n">
        <f aca="false">S456*Calculator!$B$7</f>
        <v>19200</v>
      </c>
      <c r="U456" s="11" t="n">
        <f aca="false">S456*Calculator!$B$8</f>
        <v>16320</v>
      </c>
      <c r="V456" s="11" t="n">
        <f aca="false">IF(Q456&gt;0,'Tax Tables'!$B$32*MIN(MAX(Q456/'Tax Tables'!$B$32*'Tax Tables'!$B$33,'Tax Tables'!$B$34),'Tax Tables'!$B$35),0)</f>
        <v>135</v>
      </c>
      <c r="W456" s="11" t="n">
        <f aca="false">Calculator!$B$5-P456-U456-V456</f>
        <v>162045</v>
      </c>
      <c r="X456" s="11" t="n">
        <f aca="false">'Tax Tables'!$B$22*(MAX(W456,0)-IF(Calculator!$B$10="Yes",MIN(MAX(W456,0),'Tax Tables'!$B$27)*'Tax Tables'!$B$28+MIN(MAX(MAX(W456,0)-'Tax Tables'!$B$27,0),'Tax Tables'!$B$29)*'Tax Tables'!$B$30,MIN(MAX(W456,0),'Tax Tables'!$B$23)*'Tax Tables'!$B$24+MIN(MAX(MAX(W456,0)-'Tax Tables'!$B$23,0),'Tax Tables'!$B$25)*'Tax Tables'!$B$26))*1-MIN('Tax Tables'!$B$22*(MAX(W456,0)-IF(Calculator!$B$10="Yes",MIN(MAX(W456,0),'Tax Tables'!$B$27)*'Tax Tables'!$B$28+MIN(MAX(MAX(W456,0)-'Tax Tables'!$B$27,0),'Tax Tables'!$B$29)*'Tax Tables'!$B$30,MIN(MAX(W456,0),'Tax Tables'!$B$23)*'Tax Tables'!$B$24+MIN(MAX(MAX(W456,0)-'Tax Tables'!$B$23,0),'Tax Tables'!$B$25)*'Tax Tables'!$B$26))*Calculator!$B$11,Calculator!$B$12)</f>
        <v>13348.825</v>
      </c>
      <c r="Y456" s="11" t="n">
        <f aca="false">MAX(W456,0)-X456</f>
        <v>148696.175</v>
      </c>
      <c r="Z456" s="11" t="n">
        <f aca="false">MIN(IF(P456&gt;0,Calculator!$B$13,0)+T456+Calculator!$B$14,'Tax Tables'!$B$36)</f>
        <v>20200</v>
      </c>
      <c r="AA456" s="11" t="n">
        <f aca="false">MAX(P456-Z456,0)</f>
        <v>201300</v>
      </c>
      <c r="AB456" s="11" t="n">
        <f aca="false">SUMPRODUCT((AA456&gt;'Tax Tables'!$A$5:$A$17)*(AA456-'Tax Tables'!$A$5:$A$17)*'Tax Tables'!$C$5:$C$17)</f>
        <v>21397</v>
      </c>
      <c r="AC456" s="11" t="n">
        <f aca="false">IF(W456&lt;0,-1E+099,P456-T456-AB456+Y456+(T456+U456)*Calculator!$B$9)</f>
        <v>365119.175</v>
      </c>
    </row>
    <row r="457" customFormat="false" ht="15" hidden="false" customHeight="false" outlineLevel="0" collapsed="false">
      <c r="A457" s="11" t="n">
        <f aca="false">444*$B$3</f>
        <v>222000</v>
      </c>
      <c r="B457" s="11" t="n">
        <f aca="false">0</f>
        <v>0</v>
      </c>
      <c r="C457" s="11" t="n">
        <f aca="false">A457-B457</f>
        <v>222000</v>
      </c>
      <c r="D457" s="11" t="n">
        <f aca="false">IF(Calculator!$B$6="Yes",MIN(B457,'Tax Tables'!$B$31*'Tax Tables'!$B$32),0)</f>
        <v>0</v>
      </c>
      <c r="E457" s="11" t="n">
        <f aca="false">D457*Calculator!$B$7</f>
        <v>0</v>
      </c>
      <c r="F457" s="11" t="n">
        <f aca="false">D457*Calculator!$B$8</f>
        <v>0</v>
      </c>
      <c r="G457" s="11" t="n">
        <f aca="false">IF(B457&gt;0,'Tax Tables'!$B$32*MIN(MAX(B457/'Tax Tables'!$B$32*'Tax Tables'!$B$33,'Tax Tables'!$B$34),'Tax Tables'!$B$35),0)</f>
        <v>0</v>
      </c>
      <c r="H457" s="11" t="n">
        <f aca="false">Calculator!$B$5-A457-F457-G457</f>
        <v>178000</v>
      </c>
      <c r="I457" s="11" t="n">
        <f aca="false">'Tax Tables'!$B$22*(MAX(H457,0)-IF(Calculator!$B$10="Yes",MIN(MAX(H457,0),'Tax Tables'!$B$27)*'Tax Tables'!$B$28+MIN(MAX(MAX(H457,0)-'Tax Tables'!$B$27,0),'Tax Tables'!$B$29)*'Tax Tables'!$B$30,MIN(MAX(H457,0),'Tax Tables'!$B$23)*'Tax Tables'!$B$24+MIN(MAX(MAX(H457,0)-'Tax Tables'!$B$23,0),'Tax Tables'!$B$25)*'Tax Tables'!$B$26))*1-MIN('Tax Tables'!$B$22*(MAX(H457,0)-IF(Calculator!$B$10="Yes",MIN(MAX(H457,0),'Tax Tables'!$B$27)*'Tax Tables'!$B$28+MIN(MAX(MAX(H457,0)-'Tax Tables'!$B$27,0),'Tax Tables'!$B$29)*'Tax Tables'!$B$30,MIN(MAX(H457,0),'Tax Tables'!$B$23)*'Tax Tables'!$B$24+MIN(MAX(MAX(H457,0)-'Tax Tables'!$B$23,0),'Tax Tables'!$B$25)*'Tax Tables'!$B$26))*Calculator!$B$11,Calculator!$B$12)</f>
        <v>14705</v>
      </c>
      <c r="J457" s="11" t="n">
        <f aca="false">MAX(H457,0)-I457</f>
        <v>163295</v>
      </c>
      <c r="K457" s="11" t="n">
        <f aca="false">MIN(IF(A457&gt;0,Calculator!$B$13,0)+E457+Calculator!$B$14,'Tax Tables'!$B$36)</f>
        <v>1000</v>
      </c>
      <c r="L457" s="11" t="n">
        <f aca="false">MAX(A457-K457,0)</f>
        <v>221000</v>
      </c>
      <c r="M457" s="11" t="n">
        <f aca="false">SUMPRODUCT((L457&gt;'Tax Tables'!$A$5:$A$17)*(L457-'Tax Tables'!$A$5:$A$17)*'Tax Tables'!$C$5:$C$17)</f>
        <v>25140</v>
      </c>
      <c r="N457" s="11" t="n">
        <f aca="false">IF(H457&lt;0,-1E+099,A457-E457-M457+J457+(E457+F457)*Calculator!$B$9)</f>
        <v>360155</v>
      </c>
      <c r="O457" s="2"/>
      <c r="P457" s="11" t="n">
        <f aca="false">444*$B$3</f>
        <v>222000</v>
      </c>
      <c r="Q457" s="11" t="n">
        <f aca="false">MIN(P457,'Tax Tables'!$B$31*'Tax Tables'!$B$32)</f>
        <v>96000</v>
      </c>
      <c r="R457" s="11" t="n">
        <f aca="false">P457-Q457</f>
        <v>126000</v>
      </c>
      <c r="S457" s="11" t="n">
        <f aca="false">IF(Calculator!$B$6="Yes",MIN(Q457,'Tax Tables'!$B$31*'Tax Tables'!$B$32),0)</f>
        <v>96000</v>
      </c>
      <c r="T457" s="11" t="n">
        <f aca="false">S457*Calculator!$B$7</f>
        <v>19200</v>
      </c>
      <c r="U457" s="11" t="n">
        <f aca="false">S457*Calculator!$B$8</f>
        <v>16320</v>
      </c>
      <c r="V457" s="11" t="n">
        <f aca="false">IF(Q457&gt;0,'Tax Tables'!$B$32*MIN(MAX(Q457/'Tax Tables'!$B$32*'Tax Tables'!$B$33,'Tax Tables'!$B$34),'Tax Tables'!$B$35),0)</f>
        <v>135</v>
      </c>
      <c r="W457" s="11" t="n">
        <f aca="false">Calculator!$B$5-P457-U457-V457</f>
        <v>161545</v>
      </c>
      <c r="X457" s="11" t="n">
        <f aca="false">'Tax Tables'!$B$22*(MAX(W457,0)-IF(Calculator!$B$10="Yes",MIN(MAX(W457,0),'Tax Tables'!$B$27)*'Tax Tables'!$B$28+MIN(MAX(MAX(W457,0)-'Tax Tables'!$B$27,0),'Tax Tables'!$B$29)*'Tax Tables'!$B$30,MIN(MAX(W457,0),'Tax Tables'!$B$23)*'Tax Tables'!$B$24+MIN(MAX(MAX(W457,0)-'Tax Tables'!$B$23,0),'Tax Tables'!$B$25)*'Tax Tables'!$B$26))*1-MIN('Tax Tables'!$B$22*(MAX(W457,0)-IF(Calculator!$B$10="Yes",MIN(MAX(W457,0),'Tax Tables'!$B$27)*'Tax Tables'!$B$28+MIN(MAX(MAX(W457,0)-'Tax Tables'!$B$27,0),'Tax Tables'!$B$29)*'Tax Tables'!$B$30,MIN(MAX(W457,0),'Tax Tables'!$B$23)*'Tax Tables'!$B$24+MIN(MAX(MAX(W457,0)-'Tax Tables'!$B$23,0),'Tax Tables'!$B$25)*'Tax Tables'!$B$26))*Calculator!$B$11,Calculator!$B$12)</f>
        <v>13306.325</v>
      </c>
      <c r="Y457" s="11" t="n">
        <f aca="false">MAX(W457,0)-X457</f>
        <v>148238.675</v>
      </c>
      <c r="Z457" s="11" t="n">
        <f aca="false">MIN(IF(P457&gt;0,Calculator!$B$13,0)+T457+Calculator!$B$14,'Tax Tables'!$B$36)</f>
        <v>20200</v>
      </c>
      <c r="AA457" s="11" t="n">
        <f aca="false">MAX(P457-Z457,0)</f>
        <v>201800</v>
      </c>
      <c r="AB457" s="11" t="n">
        <f aca="false">SUMPRODUCT((AA457&gt;'Tax Tables'!$A$5:$A$17)*(AA457-'Tax Tables'!$A$5:$A$17)*'Tax Tables'!$C$5:$C$17)</f>
        <v>21492</v>
      </c>
      <c r="AC457" s="11" t="n">
        <f aca="false">IF(W457&lt;0,-1E+099,P457-T457-AB457+Y457+(T457+U457)*Calculator!$B$9)</f>
        <v>365066.675</v>
      </c>
    </row>
    <row r="458" customFormat="false" ht="15" hidden="false" customHeight="false" outlineLevel="0" collapsed="false">
      <c r="A458" s="11" t="n">
        <f aca="false">445*$B$3</f>
        <v>222500</v>
      </c>
      <c r="B458" s="11" t="n">
        <f aca="false">0</f>
        <v>0</v>
      </c>
      <c r="C458" s="11" t="n">
        <f aca="false">A458-B458</f>
        <v>222500</v>
      </c>
      <c r="D458" s="11" t="n">
        <f aca="false">IF(Calculator!$B$6="Yes",MIN(B458,'Tax Tables'!$B$31*'Tax Tables'!$B$32),0)</f>
        <v>0</v>
      </c>
      <c r="E458" s="11" t="n">
        <f aca="false">D458*Calculator!$B$7</f>
        <v>0</v>
      </c>
      <c r="F458" s="11" t="n">
        <f aca="false">D458*Calculator!$B$8</f>
        <v>0</v>
      </c>
      <c r="G458" s="11" t="n">
        <f aca="false">IF(B458&gt;0,'Tax Tables'!$B$32*MIN(MAX(B458/'Tax Tables'!$B$32*'Tax Tables'!$B$33,'Tax Tables'!$B$34),'Tax Tables'!$B$35),0)</f>
        <v>0</v>
      </c>
      <c r="H458" s="11" t="n">
        <f aca="false">Calculator!$B$5-A458-F458-G458</f>
        <v>177500</v>
      </c>
      <c r="I458" s="11" t="n">
        <f aca="false">'Tax Tables'!$B$22*(MAX(H458,0)-IF(Calculator!$B$10="Yes",MIN(MAX(H458,0),'Tax Tables'!$B$27)*'Tax Tables'!$B$28+MIN(MAX(MAX(H458,0)-'Tax Tables'!$B$27,0),'Tax Tables'!$B$29)*'Tax Tables'!$B$30,MIN(MAX(H458,0),'Tax Tables'!$B$23)*'Tax Tables'!$B$24+MIN(MAX(MAX(H458,0)-'Tax Tables'!$B$23,0),'Tax Tables'!$B$25)*'Tax Tables'!$B$26))*1-MIN('Tax Tables'!$B$22*(MAX(H458,0)-IF(Calculator!$B$10="Yes",MIN(MAX(H458,0),'Tax Tables'!$B$27)*'Tax Tables'!$B$28+MIN(MAX(MAX(H458,0)-'Tax Tables'!$B$27,0),'Tax Tables'!$B$29)*'Tax Tables'!$B$30,MIN(MAX(H458,0),'Tax Tables'!$B$23)*'Tax Tables'!$B$24+MIN(MAX(MAX(H458,0)-'Tax Tables'!$B$23,0),'Tax Tables'!$B$25)*'Tax Tables'!$B$26))*Calculator!$B$11,Calculator!$B$12)</f>
        <v>14662.5</v>
      </c>
      <c r="J458" s="11" t="n">
        <f aca="false">MAX(H458,0)-I458</f>
        <v>162837.5</v>
      </c>
      <c r="K458" s="11" t="n">
        <f aca="false">MIN(IF(A458&gt;0,Calculator!$B$13,0)+E458+Calculator!$B$14,'Tax Tables'!$B$36)</f>
        <v>1000</v>
      </c>
      <c r="L458" s="11" t="n">
        <f aca="false">MAX(A458-K458,0)</f>
        <v>221500</v>
      </c>
      <c r="M458" s="11" t="n">
        <f aca="false">SUMPRODUCT((L458&gt;'Tax Tables'!$A$5:$A$17)*(L458-'Tax Tables'!$A$5:$A$17)*'Tax Tables'!$C$5:$C$17)</f>
        <v>25235</v>
      </c>
      <c r="N458" s="11" t="n">
        <f aca="false">IF(H458&lt;0,-1E+099,A458-E458-M458+J458+(E458+F458)*Calculator!$B$9)</f>
        <v>360102.5</v>
      </c>
      <c r="O458" s="2"/>
      <c r="P458" s="11" t="n">
        <f aca="false">445*$B$3</f>
        <v>222500</v>
      </c>
      <c r="Q458" s="11" t="n">
        <f aca="false">MIN(P458,'Tax Tables'!$B$31*'Tax Tables'!$B$32)</f>
        <v>96000</v>
      </c>
      <c r="R458" s="11" t="n">
        <f aca="false">P458-Q458</f>
        <v>126500</v>
      </c>
      <c r="S458" s="11" t="n">
        <f aca="false">IF(Calculator!$B$6="Yes",MIN(Q458,'Tax Tables'!$B$31*'Tax Tables'!$B$32),0)</f>
        <v>96000</v>
      </c>
      <c r="T458" s="11" t="n">
        <f aca="false">S458*Calculator!$B$7</f>
        <v>19200</v>
      </c>
      <c r="U458" s="11" t="n">
        <f aca="false">S458*Calculator!$B$8</f>
        <v>16320</v>
      </c>
      <c r="V458" s="11" t="n">
        <f aca="false">IF(Q458&gt;0,'Tax Tables'!$B$32*MIN(MAX(Q458/'Tax Tables'!$B$32*'Tax Tables'!$B$33,'Tax Tables'!$B$34),'Tax Tables'!$B$35),0)</f>
        <v>135</v>
      </c>
      <c r="W458" s="11" t="n">
        <f aca="false">Calculator!$B$5-P458-U458-V458</f>
        <v>161045</v>
      </c>
      <c r="X458" s="11" t="n">
        <f aca="false">'Tax Tables'!$B$22*(MAX(W458,0)-IF(Calculator!$B$10="Yes",MIN(MAX(W458,0),'Tax Tables'!$B$27)*'Tax Tables'!$B$28+MIN(MAX(MAX(W458,0)-'Tax Tables'!$B$27,0),'Tax Tables'!$B$29)*'Tax Tables'!$B$30,MIN(MAX(W458,0),'Tax Tables'!$B$23)*'Tax Tables'!$B$24+MIN(MAX(MAX(W458,0)-'Tax Tables'!$B$23,0),'Tax Tables'!$B$25)*'Tax Tables'!$B$26))*1-MIN('Tax Tables'!$B$22*(MAX(W458,0)-IF(Calculator!$B$10="Yes",MIN(MAX(W458,0),'Tax Tables'!$B$27)*'Tax Tables'!$B$28+MIN(MAX(MAX(W458,0)-'Tax Tables'!$B$27,0),'Tax Tables'!$B$29)*'Tax Tables'!$B$30,MIN(MAX(W458,0),'Tax Tables'!$B$23)*'Tax Tables'!$B$24+MIN(MAX(MAX(W458,0)-'Tax Tables'!$B$23,0),'Tax Tables'!$B$25)*'Tax Tables'!$B$26))*Calculator!$B$11,Calculator!$B$12)</f>
        <v>13263.825</v>
      </c>
      <c r="Y458" s="11" t="n">
        <f aca="false">MAX(W458,0)-X458</f>
        <v>147781.175</v>
      </c>
      <c r="Z458" s="11" t="n">
        <f aca="false">MIN(IF(P458&gt;0,Calculator!$B$13,0)+T458+Calculator!$B$14,'Tax Tables'!$B$36)</f>
        <v>20200</v>
      </c>
      <c r="AA458" s="11" t="n">
        <f aca="false">MAX(P458-Z458,0)</f>
        <v>202300</v>
      </c>
      <c r="AB458" s="11" t="n">
        <f aca="false">SUMPRODUCT((AA458&gt;'Tax Tables'!$A$5:$A$17)*(AA458-'Tax Tables'!$A$5:$A$17)*'Tax Tables'!$C$5:$C$17)</f>
        <v>21587</v>
      </c>
      <c r="AC458" s="11" t="n">
        <f aca="false">IF(W458&lt;0,-1E+099,P458-T458-AB458+Y458+(T458+U458)*Calculator!$B$9)</f>
        <v>365014.175</v>
      </c>
    </row>
    <row r="459" customFormat="false" ht="15" hidden="false" customHeight="false" outlineLevel="0" collapsed="false">
      <c r="A459" s="11" t="n">
        <f aca="false">446*$B$3</f>
        <v>223000</v>
      </c>
      <c r="B459" s="11" t="n">
        <f aca="false">0</f>
        <v>0</v>
      </c>
      <c r="C459" s="11" t="n">
        <f aca="false">A459-B459</f>
        <v>223000</v>
      </c>
      <c r="D459" s="11" t="n">
        <f aca="false">IF(Calculator!$B$6="Yes",MIN(B459,'Tax Tables'!$B$31*'Tax Tables'!$B$32),0)</f>
        <v>0</v>
      </c>
      <c r="E459" s="11" t="n">
        <f aca="false">D459*Calculator!$B$7</f>
        <v>0</v>
      </c>
      <c r="F459" s="11" t="n">
        <f aca="false">D459*Calculator!$B$8</f>
        <v>0</v>
      </c>
      <c r="G459" s="11" t="n">
        <f aca="false">IF(B459&gt;0,'Tax Tables'!$B$32*MIN(MAX(B459/'Tax Tables'!$B$32*'Tax Tables'!$B$33,'Tax Tables'!$B$34),'Tax Tables'!$B$35),0)</f>
        <v>0</v>
      </c>
      <c r="H459" s="11" t="n">
        <f aca="false">Calculator!$B$5-A459-F459-G459</f>
        <v>177000</v>
      </c>
      <c r="I459" s="11" t="n">
        <f aca="false">'Tax Tables'!$B$22*(MAX(H459,0)-IF(Calculator!$B$10="Yes",MIN(MAX(H459,0),'Tax Tables'!$B$27)*'Tax Tables'!$B$28+MIN(MAX(MAX(H459,0)-'Tax Tables'!$B$27,0),'Tax Tables'!$B$29)*'Tax Tables'!$B$30,MIN(MAX(H459,0),'Tax Tables'!$B$23)*'Tax Tables'!$B$24+MIN(MAX(MAX(H459,0)-'Tax Tables'!$B$23,0),'Tax Tables'!$B$25)*'Tax Tables'!$B$26))*1-MIN('Tax Tables'!$B$22*(MAX(H459,0)-IF(Calculator!$B$10="Yes",MIN(MAX(H459,0),'Tax Tables'!$B$27)*'Tax Tables'!$B$28+MIN(MAX(MAX(H459,0)-'Tax Tables'!$B$27,0),'Tax Tables'!$B$29)*'Tax Tables'!$B$30,MIN(MAX(H459,0),'Tax Tables'!$B$23)*'Tax Tables'!$B$24+MIN(MAX(MAX(H459,0)-'Tax Tables'!$B$23,0),'Tax Tables'!$B$25)*'Tax Tables'!$B$26))*Calculator!$B$11,Calculator!$B$12)</f>
        <v>14620</v>
      </c>
      <c r="J459" s="11" t="n">
        <f aca="false">MAX(H459,0)-I459</f>
        <v>162380</v>
      </c>
      <c r="K459" s="11" t="n">
        <f aca="false">MIN(IF(A459&gt;0,Calculator!$B$13,0)+E459+Calculator!$B$14,'Tax Tables'!$B$36)</f>
        <v>1000</v>
      </c>
      <c r="L459" s="11" t="n">
        <f aca="false">MAX(A459-K459,0)</f>
        <v>222000</v>
      </c>
      <c r="M459" s="11" t="n">
        <f aca="false">SUMPRODUCT((L459&gt;'Tax Tables'!$A$5:$A$17)*(L459-'Tax Tables'!$A$5:$A$17)*'Tax Tables'!$C$5:$C$17)</f>
        <v>25330</v>
      </c>
      <c r="N459" s="11" t="n">
        <f aca="false">IF(H459&lt;0,-1E+099,A459-E459-M459+J459+(E459+F459)*Calculator!$B$9)</f>
        <v>360050</v>
      </c>
      <c r="O459" s="2"/>
      <c r="P459" s="11" t="n">
        <f aca="false">446*$B$3</f>
        <v>223000</v>
      </c>
      <c r="Q459" s="11" t="n">
        <f aca="false">MIN(P459,'Tax Tables'!$B$31*'Tax Tables'!$B$32)</f>
        <v>96000</v>
      </c>
      <c r="R459" s="11" t="n">
        <f aca="false">P459-Q459</f>
        <v>127000</v>
      </c>
      <c r="S459" s="11" t="n">
        <f aca="false">IF(Calculator!$B$6="Yes",MIN(Q459,'Tax Tables'!$B$31*'Tax Tables'!$B$32),0)</f>
        <v>96000</v>
      </c>
      <c r="T459" s="11" t="n">
        <f aca="false">S459*Calculator!$B$7</f>
        <v>19200</v>
      </c>
      <c r="U459" s="11" t="n">
        <f aca="false">S459*Calculator!$B$8</f>
        <v>16320</v>
      </c>
      <c r="V459" s="11" t="n">
        <f aca="false">IF(Q459&gt;0,'Tax Tables'!$B$32*MIN(MAX(Q459/'Tax Tables'!$B$32*'Tax Tables'!$B$33,'Tax Tables'!$B$34),'Tax Tables'!$B$35),0)</f>
        <v>135</v>
      </c>
      <c r="W459" s="11" t="n">
        <f aca="false">Calculator!$B$5-P459-U459-V459</f>
        <v>160545</v>
      </c>
      <c r="X459" s="11" t="n">
        <f aca="false">'Tax Tables'!$B$22*(MAX(W459,0)-IF(Calculator!$B$10="Yes",MIN(MAX(W459,0),'Tax Tables'!$B$27)*'Tax Tables'!$B$28+MIN(MAX(MAX(W459,0)-'Tax Tables'!$B$27,0),'Tax Tables'!$B$29)*'Tax Tables'!$B$30,MIN(MAX(W459,0),'Tax Tables'!$B$23)*'Tax Tables'!$B$24+MIN(MAX(MAX(W459,0)-'Tax Tables'!$B$23,0),'Tax Tables'!$B$25)*'Tax Tables'!$B$26))*1-MIN('Tax Tables'!$B$22*(MAX(W459,0)-IF(Calculator!$B$10="Yes",MIN(MAX(W459,0),'Tax Tables'!$B$27)*'Tax Tables'!$B$28+MIN(MAX(MAX(W459,0)-'Tax Tables'!$B$27,0),'Tax Tables'!$B$29)*'Tax Tables'!$B$30,MIN(MAX(W459,0),'Tax Tables'!$B$23)*'Tax Tables'!$B$24+MIN(MAX(MAX(W459,0)-'Tax Tables'!$B$23,0),'Tax Tables'!$B$25)*'Tax Tables'!$B$26))*Calculator!$B$11,Calculator!$B$12)</f>
        <v>13221.325</v>
      </c>
      <c r="Y459" s="11" t="n">
        <f aca="false">MAX(W459,0)-X459</f>
        <v>147323.675</v>
      </c>
      <c r="Z459" s="11" t="n">
        <f aca="false">MIN(IF(P459&gt;0,Calculator!$B$13,0)+T459+Calculator!$B$14,'Tax Tables'!$B$36)</f>
        <v>20200</v>
      </c>
      <c r="AA459" s="11" t="n">
        <f aca="false">MAX(P459-Z459,0)</f>
        <v>202800</v>
      </c>
      <c r="AB459" s="11" t="n">
        <f aca="false">SUMPRODUCT((AA459&gt;'Tax Tables'!$A$5:$A$17)*(AA459-'Tax Tables'!$A$5:$A$17)*'Tax Tables'!$C$5:$C$17)</f>
        <v>21682</v>
      </c>
      <c r="AC459" s="11" t="n">
        <f aca="false">IF(W459&lt;0,-1E+099,P459-T459-AB459+Y459+(T459+U459)*Calculator!$B$9)</f>
        <v>364961.675</v>
      </c>
    </row>
    <row r="460" customFormat="false" ht="15" hidden="false" customHeight="false" outlineLevel="0" collapsed="false">
      <c r="A460" s="11" t="n">
        <f aca="false">447*$B$3</f>
        <v>223500</v>
      </c>
      <c r="B460" s="11" t="n">
        <f aca="false">0</f>
        <v>0</v>
      </c>
      <c r="C460" s="11" t="n">
        <f aca="false">A460-B460</f>
        <v>223500</v>
      </c>
      <c r="D460" s="11" t="n">
        <f aca="false">IF(Calculator!$B$6="Yes",MIN(B460,'Tax Tables'!$B$31*'Tax Tables'!$B$32),0)</f>
        <v>0</v>
      </c>
      <c r="E460" s="11" t="n">
        <f aca="false">D460*Calculator!$B$7</f>
        <v>0</v>
      </c>
      <c r="F460" s="11" t="n">
        <f aca="false">D460*Calculator!$B$8</f>
        <v>0</v>
      </c>
      <c r="G460" s="11" t="n">
        <f aca="false">IF(B460&gt;0,'Tax Tables'!$B$32*MIN(MAX(B460/'Tax Tables'!$B$32*'Tax Tables'!$B$33,'Tax Tables'!$B$34),'Tax Tables'!$B$35),0)</f>
        <v>0</v>
      </c>
      <c r="H460" s="11" t="n">
        <f aca="false">Calculator!$B$5-A460-F460-G460</f>
        <v>176500</v>
      </c>
      <c r="I460" s="11" t="n">
        <f aca="false">'Tax Tables'!$B$22*(MAX(H460,0)-IF(Calculator!$B$10="Yes",MIN(MAX(H460,0),'Tax Tables'!$B$27)*'Tax Tables'!$B$28+MIN(MAX(MAX(H460,0)-'Tax Tables'!$B$27,0),'Tax Tables'!$B$29)*'Tax Tables'!$B$30,MIN(MAX(H460,0),'Tax Tables'!$B$23)*'Tax Tables'!$B$24+MIN(MAX(MAX(H460,0)-'Tax Tables'!$B$23,0),'Tax Tables'!$B$25)*'Tax Tables'!$B$26))*1-MIN('Tax Tables'!$B$22*(MAX(H460,0)-IF(Calculator!$B$10="Yes",MIN(MAX(H460,0),'Tax Tables'!$B$27)*'Tax Tables'!$B$28+MIN(MAX(MAX(H460,0)-'Tax Tables'!$B$27,0),'Tax Tables'!$B$29)*'Tax Tables'!$B$30,MIN(MAX(H460,0),'Tax Tables'!$B$23)*'Tax Tables'!$B$24+MIN(MAX(MAX(H460,0)-'Tax Tables'!$B$23,0),'Tax Tables'!$B$25)*'Tax Tables'!$B$26))*Calculator!$B$11,Calculator!$B$12)</f>
        <v>14577.5</v>
      </c>
      <c r="J460" s="11" t="n">
        <f aca="false">MAX(H460,0)-I460</f>
        <v>161922.5</v>
      </c>
      <c r="K460" s="11" t="n">
        <f aca="false">MIN(IF(A460&gt;0,Calculator!$B$13,0)+E460+Calculator!$B$14,'Tax Tables'!$B$36)</f>
        <v>1000</v>
      </c>
      <c r="L460" s="11" t="n">
        <f aca="false">MAX(A460-K460,0)</f>
        <v>222500</v>
      </c>
      <c r="M460" s="11" t="n">
        <f aca="false">SUMPRODUCT((L460&gt;'Tax Tables'!$A$5:$A$17)*(L460-'Tax Tables'!$A$5:$A$17)*'Tax Tables'!$C$5:$C$17)</f>
        <v>25425</v>
      </c>
      <c r="N460" s="11" t="n">
        <f aca="false">IF(H460&lt;0,-1E+099,A460-E460-M460+J460+(E460+F460)*Calculator!$B$9)</f>
        <v>359997.5</v>
      </c>
      <c r="O460" s="2"/>
      <c r="P460" s="11" t="n">
        <f aca="false">447*$B$3</f>
        <v>223500</v>
      </c>
      <c r="Q460" s="11" t="n">
        <f aca="false">MIN(P460,'Tax Tables'!$B$31*'Tax Tables'!$B$32)</f>
        <v>96000</v>
      </c>
      <c r="R460" s="11" t="n">
        <f aca="false">P460-Q460</f>
        <v>127500</v>
      </c>
      <c r="S460" s="11" t="n">
        <f aca="false">IF(Calculator!$B$6="Yes",MIN(Q460,'Tax Tables'!$B$31*'Tax Tables'!$B$32),0)</f>
        <v>96000</v>
      </c>
      <c r="T460" s="11" t="n">
        <f aca="false">S460*Calculator!$B$7</f>
        <v>19200</v>
      </c>
      <c r="U460" s="11" t="n">
        <f aca="false">S460*Calculator!$B$8</f>
        <v>16320</v>
      </c>
      <c r="V460" s="11" t="n">
        <f aca="false">IF(Q460&gt;0,'Tax Tables'!$B$32*MIN(MAX(Q460/'Tax Tables'!$B$32*'Tax Tables'!$B$33,'Tax Tables'!$B$34),'Tax Tables'!$B$35),0)</f>
        <v>135</v>
      </c>
      <c r="W460" s="11" t="n">
        <f aca="false">Calculator!$B$5-P460-U460-V460</f>
        <v>160045</v>
      </c>
      <c r="X460" s="11" t="n">
        <f aca="false">'Tax Tables'!$B$22*(MAX(W460,0)-IF(Calculator!$B$10="Yes",MIN(MAX(W460,0),'Tax Tables'!$B$27)*'Tax Tables'!$B$28+MIN(MAX(MAX(W460,0)-'Tax Tables'!$B$27,0),'Tax Tables'!$B$29)*'Tax Tables'!$B$30,MIN(MAX(W460,0),'Tax Tables'!$B$23)*'Tax Tables'!$B$24+MIN(MAX(MAX(W460,0)-'Tax Tables'!$B$23,0),'Tax Tables'!$B$25)*'Tax Tables'!$B$26))*1-MIN('Tax Tables'!$B$22*(MAX(W460,0)-IF(Calculator!$B$10="Yes",MIN(MAX(W460,0),'Tax Tables'!$B$27)*'Tax Tables'!$B$28+MIN(MAX(MAX(W460,0)-'Tax Tables'!$B$27,0),'Tax Tables'!$B$29)*'Tax Tables'!$B$30,MIN(MAX(W460,0),'Tax Tables'!$B$23)*'Tax Tables'!$B$24+MIN(MAX(MAX(W460,0)-'Tax Tables'!$B$23,0),'Tax Tables'!$B$25)*'Tax Tables'!$B$26))*Calculator!$B$11,Calculator!$B$12)</f>
        <v>13178.825</v>
      </c>
      <c r="Y460" s="11" t="n">
        <f aca="false">MAX(W460,0)-X460</f>
        <v>146866.175</v>
      </c>
      <c r="Z460" s="11" t="n">
        <f aca="false">MIN(IF(P460&gt;0,Calculator!$B$13,0)+T460+Calculator!$B$14,'Tax Tables'!$B$36)</f>
        <v>20200</v>
      </c>
      <c r="AA460" s="11" t="n">
        <f aca="false">MAX(P460-Z460,0)</f>
        <v>203300</v>
      </c>
      <c r="AB460" s="11" t="n">
        <f aca="false">SUMPRODUCT((AA460&gt;'Tax Tables'!$A$5:$A$17)*(AA460-'Tax Tables'!$A$5:$A$17)*'Tax Tables'!$C$5:$C$17)</f>
        <v>21777</v>
      </c>
      <c r="AC460" s="11" t="n">
        <f aca="false">IF(W460&lt;0,-1E+099,P460-T460-AB460+Y460+(T460+U460)*Calculator!$B$9)</f>
        <v>364909.175</v>
      </c>
    </row>
    <row r="461" customFormat="false" ht="15" hidden="false" customHeight="false" outlineLevel="0" collapsed="false">
      <c r="A461" s="11" t="n">
        <f aca="false">448*$B$3</f>
        <v>224000</v>
      </c>
      <c r="B461" s="11" t="n">
        <f aca="false">0</f>
        <v>0</v>
      </c>
      <c r="C461" s="11" t="n">
        <f aca="false">A461-B461</f>
        <v>224000</v>
      </c>
      <c r="D461" s="11" t="n">
        <f aca="false">IF(Calculator!$B$6="Yes",MIN(B461,'Tax Tables'!$B$31*'Tax Tables'!$B$32),0)</f>
        <v>0</v>
      </c>
      <c r="E461" s="11" t="n">
        <f aca="false">D461*Calculator!$B$7</f>
        <v>0</v>
      </c>
      <c r="F461" s="11" t="n">
        <f aca="false">D461*Calculator!$B$8</f>
        <v>0</v>
      </c>
      <c r="G461" s="11" t="n">
        <f aca="false">IF(B461&gt;0,'Tax Tables'!$B$32*MIN(MAX(B461/'Tax Tables'!$B$32*'Tax Tables'!$B$33,'Tax Tables'!$B$34),'Tax Tables'!$B$35),0)</f>
        <v>0</v>
      </c>
      <c r="H461" s="11" t="n">
        <f aca="false">Calculator!$B$5-A461-F461-G461</f>
        <v>176000</v>
      </c>
      <c r="I461" s="11" t="n">
        <f aca="false">'Tax Tables'!$B$22*(MAX(H461,0)-IF(Calculator!$B$10="Yes",MIN(MAX(H461,0),'Tax Tables'!$B$27)*'Tax Tables'!$B$28+MIN(MAX(MAX(H461,0)-'Tax Tables'!$B$27,0),'Tax Tables'!$B$29)*'Tax Tables'!$B$30,MIN(MAX(H461,0),'Tax Tables'!$B$23)*'Tax Tables'!$B$24+MIN(MAX(MAX(H461,0)-'Tax Tables'!$B$23,0),'Tax Tables'!$B$25)*'Tax Tables'!$B$26))*1-MIN('Tax Tables'!$B$22*(MAX(H461,0)-IF(Calculator!$B$10="Yes",MIN(MAX(H461,0),'Tax Tables'!$B$27)*'Tax Tables'!$B$28+MIN(MAX(MAX(H461,0)-'Tax Tables'!$B$27,0),'Tax Tables'!$B$29)*'Tax Tables'!$B$30,MIN(MAX(H461,0),'Tax Tables'!$B$23)*'Tax Tables'!$B$24+MIN(MAX(MAX(H461,0)-'Tax Tables'!$B$23,0),'Tax Tables'!$B$25)*'Tax Tables'!$B$26))*Calculator!$B$11,Calculator!$B$12)</f>
        <v>14535</v>
      </c>
      <c r="J461" s="11" t="n">
        <f aca="false">MAX(H461,0)-I461</f>
        <v>161465</v>
      </c>
      <c r="K461" s="11" t="n">
        <f aca="false">MIN(IF(A461&gt;0,Calculator!$B$13,0)+E461+Calculator!$B$14,'Tax Tables'!$B$36)</f>
        <v>1000</v>
      </c>
      <c r="L461" s="11" t="n">
        <f aca="false">MAX(A461-K461,0)</f>
        <v>223000</v>
      </c>
      <c r="M461" s="11" t="n">
        <f aca="false">SUMPRODUCT((L461&gt;'Tax Tables'!$A$5:$A$17)*(L461-'Tax Tables'!$A$5:$A$17)*'Tax Tables'!$C$5:$C$17)</f>
        <v>25520</v>
      </c>
      <c r="N461" s="11" t="n">
        <f aca="false">IF(H461&lt;0,-1E+099,A461-E461-M461+J461+(E461+F461)*Calculator!$B$9)</f>
        <v>359945</v>
      </c>
      <c r="O461" s="2"/>
      <c r="P461" s="11" t="n">
        <f aca="false">448*$B$3</f>
        <v>224000</v>
      </c>
      <c r="Q461" s="11" t="n">
        <f aca="false">MIN(P461,'Tax Tables'!$B$31*'Tax Tables'!$B$32)</f>
        <v>96000</v>
      </c>
      <c r="R461" s="11" t="n">
        <f aca="false">P461-Q461</f>
        <v>128000</v>
      </c>
      <c r="S461" s="11" t="n">
        <f aca="false">IF(Calculator!$B$6="Yes",MIN(Q461,'Tax Tables'!$B$31*'Tax Tables'!$B$32),0)</f>
        <v>96000</v>
      </c>
      <c r="T461" s="11" t="n">
        <f aca="false">S461*Calculator!$B$7</f>
        <v>19200</v>
      </c>
      <c r="U461" s="11" t="n">
        <f aca="false">S461*Calculator!$B$8</f>
        <v>16320</v>
      </c>
      <c r="V461" s="11" t="n">
        <f aca="false">IF(Q461&gt;0,'Tax Tables'!$B$32*MIN(MAX(Q461/'Tax Tables'!$B$32*'Tax Tables'!$B$33,'Tax Tables'!$B$34),'Tax Tables'!$B$35),0)</f>
        <v>135</v>
      </c>
      <c r="W461" s="11" t="n">
        <f aca="false">Calculator!$B$5-P461-U461-V461</f>
        <v>159545</v>
      </c>
      <c r="X461" s="11" t="n">
        <f aca="false">'Tax Tables'!$B$22*(MAX(W461,0)-IF(Calculator!$B$10="Yes",MIN(MAX(W461,0),'Tax Tables'!$B$27)*'Tax Tables'!$B$28+MIN(MAX(MAX(W461,0)-'Tax Tables'!$B$27,0),'Tax Tables'!$B$29)*'Tax Tables'!$B$30,MIN(MAX(W461,0),'Tax Tables'!$B$23)*'Tax Tables'!$B$24+MIN(MAX(MAX(W461,0)-'Tax Tables'!$B$23,0),'Tax Tables'!$B$25)*'Tax Tables'!$B$26))*1-MIN('Tax Tables'!$B$22*(MAX(W461,0)-IF(Calculator!$B$10="Yes",MIN(MAX(W461,0),'Tax Tables'!$B$27)*'Tax Tables'!$B$28+MIN(MAX(MAX(W461,0)-'Tax Tables'!$B$27,0),'Tax Tables'!$B$29)*'Tax Tables'!$B$30,MIN(MAX(W461,0),'Tax Tables'!$B$23)*'Tax Tables'!$B$24+MIN(MAX(MAX(W461,0)-'Tax Tables'!$B$23,0),'Tax Tables'!$B$25)*'Tax Tables'!$B$26))*Calculator!$B$11,Calculator!$B$12)</f>
        <v>13136.325</v>
      </c>
      <c r="Y461" s="11" t="n">
        <f aca="false">MAX(W461,0)-X461</f>
        <v>146408.675</v>
      </c>
      <c r="Z461" s="11" t="n">
        <f aca="false">MIN(IF(P461&gt;0,Calculator!$B$13,0)+T461+Calculator!$B$14,'Tax Tables'!$B$36)</f>
        <v>20200</v>
      </c>
      <c r="AA461" s="11" t="n">
        <f aca="false">MAX(P461-Z461,0)</f>
        <v>203800</v>
      </c>
      <c r="AB461" s="11" t="n">
        <f aca="false">SUMPRODUCT((AA461&gt;'Tax Tables'!$A$5:$A$17)*(AA461-'Tax Tables'!$A$5:$A$17)*'Tax Tables'!$C$5:$C$17)</f>
        <v>21872</v>
      </c>
      <c r="AC461" s="11" t="n">
        <f aca="false">IF(W461&lt;0,-1E+099,P461-T461-AB461+Y461+(T461+U461)*Calculator!$B$9)</f>
        <v>364856.675</v>
      </c>
    </row>
    <row r="462" customFormat="false" ht="15" hidden="false" customHeight="false" outlineLevel="0" collapsed="false">
      <c r="A462" s="11" t="n">
        <f aca="false">449*$B$3</f>
        <v>224500</v>
      </c>
      <c r="B462" s="11" t="n">
        <f aca="false">0</f>
        <v>0</v>
      </c>
      <c r="C462" s="11" t="n">
        <f aca="false">A462-B462</f>
        <v>224500</v>
      </c>
      <c r="D462" s="11" t="n">
        <f aca="false">IF(Calculator!$B$6="Yes",MIN(B462,'Tax Tables'!$B$31*'Tax Tables'!$B$32),0)</f>
        <v>0</v>
      </c>
      <c r="E462" s="11" t="n">
        <f aca="false">D462*Calculator!$B$7</f>
        <v>0</v>
      </c>
      <c r="F462" s="11" t="n">
        <f aca="false">D462*Calculator!$B$8</f>
        <v>0</v>
      </c>
      <c r="G462" s="11" t="n">
        <f aca="false">IF(B462&gt;0,'Tax Tables'!$B$32*MIN(MAX(B462/'Tax Tables'!$B$32*'Tax Tables'!$B$33,'Tax Tables'!$B$34),'Tax Tables'!$B$35),0)</f>
        <v>0</v>
      </c>
      <c r="H462" s="11" t="n">
        <f aca="false">Calculator!$B$5-A462-F462-G462</f>
        <v>175500</v>
      </c>
      <c r="I462" s="11" t="n">
        <f aca="false">'Tax Tables'!$B$22*(MAX(H462,0)-IF(Calculator!$B$10="Yes",MIN(MAX(H462,0),'Tax Tables'!$B$27)*'Tax Tables'!$B$28+MIN(MAX(MAX(H462,0)-'Tax Tables'!$B$27,0),'Tax Tables'!$B$29)*'Tax Tables'!$B$30,MIN(MAX(H462,0),'Tax Tables'!$B$23)*'Tax Tables'!$B$24+MIN(MAX(MAX(H462,0)-'Tax Tables'!$B$23,0),'Tax Tables'!$B$25)*'Tax Tables'!$B$26))*1-MIN('Tax Tables'!$B$22*(MAX(H462,0)-IF(Calculator!$B$10="Yes",MIN(MAX(H462,0),'Tax Tables'!$B$27)*'Tax Tables'!$B$28+MIN(MAX(MAX(H462,0)-'Tax Tables'!$B$27,0),'Tax Tables'!$B$29)*'Tax Tables'!$B$30,MIN(MAX(H462,0),'Tax Tables'!$B$23)*'Tax Tables'!$B$24+MIN(MAX(MAX(H462,0)-'Tax Tables'!$B$23,0),'Tax Tables'!$B$25)*'Tax Tables'!$B$26))*Calculator!$B$11,Calculator!$B$12)</f>
        <v>14492.5</v>
      </c>
      <c r="J462" s="11" t="n">
        <f aca="false">MAX(H462,0)-I462</f>
        <v>161007.5</v>
      </c>
      <c r="K462" s="11" t="n">
        <f aca="false">MIN(IF(A462&gt;0,Calculator!$B$13,0)+E462+Calculator!$B$14,'Tax Tables'!$B$36)</f>
        <v>1000</v>
      </c>
      <c r="L462" s="11" t="n">
        <f aca="false">MAX(A462-K462,0)</f>
        <v>223500</v>
      </c>
      <c r="M462" s="11" t="n">
        <f aca="false">SUMPRODUCT((L462&gt;'Tax Tables'!$A$5:$A$17)*(L462-'Tax Tables'!$A$5:$A$17)*'Tax Tables'!$C$5:$C$17)</f>
        <v>25615</v>
      </c>
      <c r="N462" s="11" t="n">
        <f aca="false">IF(H462&lt;0,-1E+099,A462-E462-M462+J462+(E462+F462)*Calculator!$B$9)</f>
        <v>359892.5</v>
      </c>
      <c r="O462" s="2"/>
      <c r="P462" s="11" t="n">
        <f aca="false">449*$B$3</f>
        <v>224500</v>
      </c>
      <c r="Q462" s="11" t="n">
        <f aca="false">MIN(P462,'Tax Tables'!$B$31*'Tax Tables'!$B$32)</f>
        <v>96000</v>
      </c>
      <c r="R462" s="11" t="n">
        <f aca="false">P462-Q462</f>
        <v>128500</v>
      </c>
      <c r="S462" s="11" t="n">
        <f aca="false">IF(Calculator!$B$6="Yes",MIN(Q462,'Tax Tables'!$B$31*'Tax Tables'!$B$32),0)</f>
        <v>96000</v>
      </c>
      <c r="T462" s="11" t="n">
        <f aca="false">S462*Calculator!$B$7</f>
        <v>19200</v>
      </c>
      <c r="U462" s="11" t="n">
        <f aca="false">S462*Calculator!$B$8</f>
        <v>16320</v>
      </c>
      <c r="V462" s="11" t="n">
        <f aca="false">IF(Q462&gt;0,'Tax Tables'!$B$32*MIN(MAX(Q462/'Tax Tables'!$B$32*'Tax Tables'!$B$33,'Tax Tables'!$B$34),'Tax Tables'!$B$35),0)</f>
        <v>135</v>
      </c>
      <c r="W462" s="11" t="n">
        <f aca="false">Calculator!$B$5-P462-U462-V462</f>
        <v>159045</v>
      </c>
      <c r="X462" s="11" t="n">
        <f aca="false">'Tax Tables'!$B$22*(MAX(W462,0)-IF(Calculator!$B$10="Yes",MIN(MAX(W462,0),'Tax Tables'!$B$27)*'Tax Tables'!$B$28+MIN(MAX(MAX(W462,0)-'Tax Tables'!$B$27,0),'Tax Tables'!$B$29)*'Tax Tables'!$B$30,MIN(MAX(W462,0),'Tax Tables'!$B$23)*'Tax Tables'!$B$24+MIN(MAX(MAX(W462,0)-'Tax Tables'!$B$23,0),'Tax Tables'!$B$25)*'Tax Tables'!$B$26))*1-MIN('Tax Tables'!$B$22*(MAX(W462,0)-IF(Calculator!$B$10="Yes",MIN(MAX(W462,0),'Tax Tables'!$B$27)*'Tax Tables'!$B$28+MIN(MAX(MAX(W462,0)-'Tax Tables'!$B$27,0),'Tax Tables'!$B$29)*'Tax Tables'!$B$30,MIN(MAX(W462,0),'Tax Tables'!$B$23)*'Tax Tables'!$B$24+MIN(MAX(MAX(W462,0)-'Tax Tables'!$B$23,0),'Tax Tables'!$B$25)*'Tax Tables'!$B$26))*Calculator!$B$11,Calculator!$B$12)</f>
        <v>13093.825</v>
      </c>
      <c r="Y462" s="11" t="n">
        <f aca="false">MAX(W462,0)-X462</f>
        <v>145951.175</v>
      </c>
      <c r="Z462" s="11" t="n">
        <f aca="false">MIN(IF(P462&gt;0,Calculator!$B$13,0)+T462+Calculator!$B$14,'Tax Tables'!$B$36)</f>
        <v>20200</v>
      </c>
      <c r="AA462" s="11" t="n">
        <f aca="false">MAX(P462-Z462,0)</f>
        <v>204300</v>
      </c>
      <c r="AB462" s="11" t="n">
        <f aca="false">SUMPRODUCT((AA462&gt;'Tax Tables'!$A$5:$A$17)*(AA462-'Tax Tables'!$A$5:$A$17)*'Tax Tables'!$C$5:$C$17)</f>
        <v>21967</v>
      </c>
      <c r="AC462" s="11" t="n">
        <f aca="false">IF(W462&lt;0,-1E+099,P462-T462-AB462+Y462+(T462+U462)*Calculator!$B$9)</f>
        <v>364804.175</v>
      </c>
    </row>
    <row r="463" customFormat="false" ht="15" hidden="false" customHeight="false" outlineLevel="0" collapsed="false">
      <c r="A463" s="11" t="n">
        <f aca="false">450*$B$3</f>
        <v>225000</v>
      </c>
      <c r="B463" s="11" t="n">
        <f aca="false">0</f>
        <v>0</v>
      </c>
      <c r="C463" s="11" t="n">
        <f aca="false">A463-B463</f>
        <v>225000</v>
      </c>
      <c r="D463" s="11" t="n">
        <f aca="false">IF(Calculator!$B$6="Yes",MIN(B463,'Tax Tables'!$B$31*'Tax Tables'!$B$32),0)</f>
        <v>0</v>
      </c>
      <c r="E463" s="11" t="n">
        <f aca="false">D463*Calculator!$B$7</f>
        <v>0</v>
      </c>
      <c r="F463" s="11" t="n">
        <f aca="false">D463*Calculator!$B$8</f>
        <v>0</v>
      </c>
      <c r="G463" s="11" t="n">
        <f aca="false">IF(B463&gt;0,'Tax Tables'!$B$32*MIN(MAX(B463/'Tax Tables'!$B$32*'Tax Tables'!$B$33,'Tax Tables'!$B$34),'Tax Tables'!$B$35),0)</f>
        <v>0</v>
      </c>
      <c r="H463" s="11" t="n">
        <f aca="false">Calculator!$B$5-A463-F463-G463</f>
        <v>175000</v>
      </c>
      <c r="I463" s="11" t="n">
        <f aca="false">'Tax Tables'!$B$22*(MAX(H463,0)-IF(Calculator!$B$10="Yes",MIN(MAX(H463,0),'Tax Tables'!$B$27)*'Tax Tables'!$B$28+MIN(MAX(MAX(H463,0)-'Tax Tables'!$B$27,0),'Tax Tables'!$B$29)*'Tax Tables'!$B$30,MIN(MAX(H463,0),'Tax Tables'!$B$23)*'Tax Tables'!$B$24+MIN(MAX(MAX(H463,0)-'Tax Tables'!$B$23,0),'Tax Tables'!$B$25)*'Tax Tables'!$B$26))*1-MIN('Tax Tables'!$B$22*(MAX(H463,0)-IF(Calculator!$B$10="Yes",MIN(MAX(H463,0),'Tax Tables'!$B$27)*'Tax Tables'!$B$28+MIN(MAX(MAX(H463,0)-'Tax Tables'!$B$27,0),'Tax Tables'!$B$29)*'Tax Tables'!$B$30,MIN(MAX(H463,0),'Tax Tables'!$B$23)*'Tax Tables'!$B$24+MIN(MAX(MAX(H463,0)-'Tax Tables'!$B$23,0),'Tax Tables'!$B$25)*'Tax Tables'!$B$26))*Calculator!$B$11,Calculator!$B$12)</f>
        <v>14450</v>
      </c>
      <c r="J463" s="11" t="n">
        <f aca="false">MAX(H463,0)-I463</f>
        <v>160550</v>
      </c>
      <c r="K463" s="11" t="n">
        <f aca="false">MIN(IF(A463&gt;0,Calculator!$B$13,0)+E463+Calculator!$B$14,'Tax Tables'!$B$36)</f>
        <v>1000</v>
      </c>
      <c r="L463" s="11" t="n">
        <f aca="false">MAX(A463-K463,0)</f>
        <v>224000</v>
      </c>
      <c r="M463" s="11" t="n">
        <f aca="false">SUMPRODUCT((L463&gt;'Tax Tables'!$A$5:$A$17)*(L463-'Tax Tables'!$A$5:$A$17)*'Tax Tables'!$C$5:$C$17)</f>
        <v>25710</v>
      </c>
      <c r="N463" s="11" t="n">
        <f aca="false">IF(H463&lt;0,-1E+099,A463-E463-M463+J463+(E463+F463)*Calculator!$B$9)</f>
        <v>359840</v>
      </c>
      <c r="O463" s="2"/>
      <c r="P463" s="11" t="n">
        <f aca="false">450*$B$3</f>
        <v>225000</v>
      </c>
      <c r="Q463" s="11" t="n">
        <f aca="false">MIN(P463,'Tax Tables'!$B$31*'Tax Tables'!$B$32)</f>
        <v>96000</v>
      </c>
      <c r="R463" s="11" t="n">
        <f aca="false">P463-Q463</f>
        <v>129000</v>
      </c>
      <c r="S463" s="11" t="n">
        <f aca="false">IF(Calculator!$B$6="Yes",MIN(Q463,'Tax Tables'!$B$31*'Tax Tables'!$B$32),0)</f>
        <v>96000</v>
      </c>
      <c r="T463" s="11" t="n">
        <f aca="false">S463*Calculator!$B$7</f>
        <v>19200</v>
      </c>
      <c r="U463" s="11" t="n">
        <f aca="false">S463*Calculator!$B$8</f>
        <v>16320</v>
      </c>
      <c r="V463" s="11" t="n">
        <f aca="false">IF(Q463&gt;0,'Tax Tables'!$B$32*MIN(MAX(Q463/'Tax Tables'!$B$32*'Tax Tables'!$B$33,'Tax Tables'!$B$34),'Tax Tables'!$B$35),0)</f>
        <v>135</v>
      </c>
      <c r="W463" s="11" t="n">
        <f aca="false">Calculator!$B$5-P463-U463-V463</f>
        <v>158545</v>
      </c>
      <c r="X463" s="11" t="n">
        <f aca="false">'Tax Tables'!$B$22*(MAX(W463,0)-IF(Calculator!$B$10="Yes",MIN(MAX(W463,0),'Tax Tables'!$B$27)*'Tax Tables'!$B$28+MIN(MAX(MAX(W463,0)-'Tax Tables'!$B$27,0),'Tax Tables'!$B$29)*'Tax Tables'!$B$30,MIN(MAX(W463,0),'Tax Tables'!$B$23)*'Tax Tables'!$B$24+MIN(MAX(MAX(W463,0)-'Tax Tables'!$B$23,0),'Tax Tables'!$B$25)*'Tax Tables'!$B$26))*1-MIN('Tax Tables'!$B$22*(MAX(W463,0)-IF(Calculator!$B$10="Yes",MIN(MAX(W463,0),'Tax Tables'!$B$27)*'Tax Tables'!$B$28+MIN(MAX(MAX(W463,0)-'Tax Tables'!$B$27,0),'Tax Tables'!$B$29)*'Tax Tables'!$B$30,MIN(MAX(W463,0),'Tax Tables'!$B$23)*'Tax Tables'!$B$24+MIN(MAX(MAX(W463,0)-'Tax Tables'!$B$23,0),'Tax Tables'!$B$25)*'Tax Tables'!$B$26))*Calculator!$B$11,Calculator!$B$12)</f>
        <v>13051.325</v>
      </c>
      <c r="Y463" s="11" t="n">
        <f aca="false">MAX(W463,0)-X463</f>
        <v>145493.675</v>
      </c>
      <c r="Z463" s="11" t="n">
        <f aca="false">MIN(IF(P463&gt;0,Calculator!$B$13,0)+T463+Calculator!$B$14,'Tax Tables'!$B$36)</f>
        <v>20200</v>
      </c>
      <c r="AA463" s="11" t="n">
        <f aca="false">MAX(P463-Z463,0)</f>
        <v>204800</v>
      </c>
      <c r="AB463" s="11" t="n">
        <f aca="false">SUMPRODUCT((AA463&gt;'Tax Tables'!$A$5:$A$17)*(AA463-'Tax Tables'!$A$5:$A$17)*'Tax Tables'!$C$5:$C$17)</f>
        <v>22062</v>
      </c>
      <c r="AC463" s="11" t="n">
        <f aca="false">IF(W463&lt;0,-1E+099,P463-T463-AB463+Y463+(T463+U463)*Calculator!$B$9)</f>
        <v>364751.675</v>
      </c>
    </row>
    <row r="464" customFormat="false" ht="15" hidden="false" customHeight="false" outlineLevel="0" collapsed="false">
      <c r="A464" s="11" t="n">
        <f aca="false">451*$B$3</f>
        <v>225500</v>
      </c>
      <c r="B464" s="11" t="n">
        <f aca="false">0</f>
        <v>0</v>
      </c>
      <c r="C464" s="11" t="n">
        <f aca="false">A464-B464</f>
        <v>225500</v>
      </c>
      <c r="D464" s="11" t="n">
        <f aca="false">IF(Calculator!$B$6="Yes",MIN(B464,'Tax Tables'!$B$31*'Tax Tables'!$B$32),0)</f>
        <v>0</v>
      </c>
      <c r="E464" s="11" t="n">
        <f aca="false">D464*Calculator!$B$7</f>
        <v>0</v>
      </c>
      <c r="F464" s="11" t="n">
        <f aca="false">D464*Calculator!$B$8</f>
        <v>0</v>
      </c>
      <c r="G464" s="11" t="n">
        <f aca="false">IF(B464&gt;0,'Tax Tables'!$B$32*MIN(MAX(B464/'Tax Tables'!$B$32*'Tax Tables'!$B$33,'Tax Tables'!$B$34),'Tax Tables'!$B$35),0)</f>
        <v>0</v>
      </c>
      <c r="H464" s="11" t="n">
        <f aca="false">Calculator!$B$5-A464-F464-G464</f>
        <v>174500</v>
      </c>
      <c r="I464" s="11" t="n">
        <f aca="false">'Tax Tables'!$B$22*(MAX(H464,0)-IF(Calculator!$B$10="Yes",MIN(MAX(H464,0),'Tax Tables'!$B$27)*'Tax Tables'!$B$28+MIN(MAX(MAX(H464,0)-'Tax Tables'!$B$27,0),'Tax Tables'!$B$29)*'Tax Tables'!$B$30,MIN(MAX(H464,0),'Tax Tables'!$B$23)*'Tax Tables'!$B$24+MIN(MAX(MAX(H464,0)-'Tax Tables'!$B$23,0),'Tax Tables'!$B$25)*'Tax Tables'!$B$26))*1-MIN('Tax Tables'!$B$22*(MAX(H464,0)-IF(Calculator!$B$10="Yes",MIN(MAX(H464,0),'Tax Tables'!$B$27)*'Tax Tables'!$B$28+MIN(MAX(MAX(H464,0)-'Tax Tables'!$B$27,0),'Tax Tables'!$B$29)*'Tax Tables'!$B$30,MIN(MAX(H464,0),'Tax Tables'!$B$23)*'Tax Tables'!$B$24+MIN(MAX(MAX(H464,0)-'Tax Tables'!$B$23,0),'Tax Tables'!$B$25)*'Tax Tables'!$B$26))*Calculator!$B$11,Calculator!$B$12)</f>
        <v>14407.5</v>
      </c>
      <c r="J464" s="11" t="n">
        <f aca="false">MAX(H464,0)-I464</f>
        <v>160092.5</v>
      </c>
      <c r="K464" s="11" t="n">
        <f aca="false">MIN(IF(A464&gt;0,Calculator!$B$13,0)+E464+Calculator!$B$14,'Tax Tables'!$B$36)</f>
        <v>1000</v>
      </c>
      <c r="L464" s="11" t="n">
        <f aca="false">MAX(A464-K464,0)</f>
        <v>224500</v>
      </c>
      <c r="M464" s="11" t="n">
        <f aca="false">SUMPRODUCT((L464&gt;'Tax Tables'!$A$5:$A$17)*(L464-'Tax Tables'!$A$5:$A$17)*'Tax Tables'!$C$5:$C$17)</f>
        <v>25805</v>
      </c>
      <c r="N464" s="11" t="n">
        <f aca="false">IF(H464&lt;0,-1E+099,A464-E464-M464+J464+(E464+F464)*Calculator!$B$9)</f>
        <v>359787.5</v>
      </c>
      <c r="O464" s="2"/>
      <c r="P464" s="11" t="n">
        <f aca="false">451*$B$3</f>
        <v>225500</v>
      </c>
      <c r="Q464" s="11" t="n">
        <f aca="false">MIN(P464,'Tax Tables'!$B$31*'Tax Tables'!$B$32)</f>
        <v>96000</v>
      </c>
      <c r="R464" s="11" t="n">
        <f aca="false">P464-Q464</f>
        <v>129500</v>
      </c>
      <c r="S464" s="11" t="n">
        <f aca="false">IF(Calculator!$B$6="Yes",MIN(Q464,'Tax Tables'!$B$31*'Tax Tables'!$B$32),0)</f>
        <v>96000</v>
      </c>
      <c r="T464" s="11" t="n">
        <f aca="false">S464*Calculator!$B$7</f>
        <v>19200</v>
      </c>
      <c r="U464" s="11" t="n">
        <f aca="false">S464*Calculator!$B$8</f>
        <v>16320</v>
      </c>
      <c r="V464" s="11" t="n">
        <f aca="false">IF(Q464&gt;0,'Tax Tables'!$B$32*MIN(MAX(Q464/'Tax Tables'!$B$32*'Tax Tables'!$B$33,'Tax Tables'!$B$34),'Tax Tables'!$B$35),0)</f>
        <v>135</v>
      </c>
      <c r="W464" s="11" t="n">
        <f aca="false">Calculator!$B$5-P464-U464-V464</f>
        <v>158045</v>
      </c>
      <c r="X464" s="11" t="n">
        <f aca="false">'Tax Tables'!$B$22*(MAX(W464,0)-IF(Calculator!$B$10="Yes",MIN(MAX(W464,0),'Tax Tables'!$B$27)*'Tax Tables'!$B$28+MIN(MAX(MAX(W464,0)-'Tax Tables'!$B$27,0),'Tax Tables'!$B$29)*'Tax Tables'!$B$30,MIN(MAX(W464,0),'Tax Tables'!$B$23)*'Tax Tables'!$B$24+MIN(MAX(MAX(W464,0)-'Tax Tables'!$B$23,0),'Tax Tables'!$B$25)*'Tax Tables'!$B$26))*1-MIN('Tax Tables'!$B$22*(MAX(W464,0)-IF(Calculator!$B$10="Yes",MIN(MAX(W464,0),'Tax Tables'!$B$27)*'Tax Tables'!$B$28+MIN(MAX(MAX(W464,0)-'Tax Tables'!$B$27,0),'Tax Tables'!$B$29)*'Tax Tables'!$B$30,MIN(MAX(W464,0),'Tax Tables'!$B$23)*'Tax Tables'!$B$24+MIN(MAX(MAX(W464,0)-'Tax Tables'!$B$23,0),'Tax Tables'!$B$25)*'Tax Tables'!$B$26))*Calculator!$B$11,Calculator!$B$12)</f>
        <v>13008.825</v>
      </c>
      <c r="Y464" s="11" t="n">
        <f aca="false">MAX(W464,0)-X464</f>
        <v>145036.175</v>
      </c>
      <c r="Z464" s="11" t="n">
        <f aca="false">MIN(IF(P464&gt;0,Calculator!$B$13,0)+T464+Calculator!$B$14,'Tax Tables'!$B$36)</f>
        <v>20200</v>
      </c>
      <c r="AA464" s="11" t="n">
        <f aca="false">MAX(P464-Z464,0)</f>
        <v>205300</v>
      </c>
      <c r="AB464" s="11" t="n">
        <f aca="false">SUMPRODUCT((AA464&gt;'Tax Tables'!$A$5:$A$17)*(AA464-'Tax Tables'!$A$5:$A$17)*'Tax Tables'!$C$5:$C$17)</f>
        <v>22157</v>
      </c>
      <c r="AC464" s="11" t="n">
        <f aca="false">IF(W464&lt;0,-1E+099,P464-T464-AB464+Y464+(T464+U464)*Calculator!$B$9)</f>
        <v>364699.175</v>
      </c>
    </row>
    <row r="465" customFormat="false" ht="15" hidden="false" customHeight="false" outlineLevel="0" collapsed="false">
      <c r="A465" s="11" t="n">
        <f aca="false">452*$B$3</f>
        <v>226000</v>
      </c>
      <c r="B465" s="11" t="n">
        <f aca="false">0</f>
        <v>0</v>
      </c>
      <c r="C465" s="11" t="n">
        <f aca="false">A465-B465</f>
        <v>226000</v>
      </c>
      <c r="D465" s="11" t="n">
        <f aca="false">IF(Calculator!$B$6="Yes",MIN(B465,'Tax Tables'!$B$31*'Tax Tables'!$B$32),0)</f>
        <v>0</v>
      </c>
      <c r="E465" s="11" t="n">
        <f aca="false">D465*Calculator!$B$7</f>
        <v>0</v>
      </c>
      <c r="F465" s="11" t="n">
        <f aca="false">D465*Calculator!$B$8</f>
        <v>0</v>
      </c>
      <c r="G465" s="11" t="n">
        <f aca="false">IF(B465&gt;0,'Tax Tables'!$B$32*MIN(MAX(B465/'Tax Tables'!$B$32*'Tax Tables'!$B$33,'Tax Tables'!$B$34),'Tax Tables'!$B$35),0)</f>
        <v>0</v>
      </c>
      <c r="H465" s="11" t="n">
        <f aca="false">Calculator!$B$5-A465-F465-G465</f>
        <v>174000</v>
      </c>
      <c r="I465" s="11" t="n">
        <f aca="false">'Tax Tables'!$B$22*(MAX(H465,0)-IF(Calculator!$B$10="Yes",MIN(MAX(H465,0),'Tax Tables'!$B$27)*'Tax Tables'!$B$28+MIN(MAX(MAX(H465,0)-'Tax Tables'!$B$27,0),'Tax Tables'!$B$29)*'Tax Tables'!$B$30,MIN(MAX(H465,0),'Tax Tables'!$B$23)*'Tax Tables'!$B$24+MIN(MAX(MAX(H465,0)-'Tax Tables'!$B$23,0),'Tax Tables'!$B$25)*'Tax Tables'!$B$26))*1-MIN('Tax Tables'!$B$22*(MAX(H465,0)-IF(Calculator!$B$10="Yes",MIN(MAX(H465,0),'Tax Tables'!$B$27)*'Tax Tables'!$B$28+MIN(MAX(MAX(H465,0)-'Tax Tables'!$B$27,0),'Tax Tables'!$B$29)*'Tax Tables'!$B$30,MIN(MAX(H465,0),'Tax Tables'!$B$23)*'Tax Tables'!$B$24+MIN(MAX(MAX(H465,0)-'Tax Tables'!$B$23,0),'Tax Tables'!$B$25)*'Tax Tables'!$B$26))*Calculator!$B$11,Calculator!$B$12)</f>
        <v>14365</v>
      </c>
      <c r="J465" s="11" t="n">
        <f aca="false">MAX(H465,0)-I465</f>
        <v>159635</v>
      </c>
      <c r="K465" s="11" t="n">
        <f aca="false">MIN(IF(A465&gt;0,Calculator!$B$13,0)+E465+Calculator!$B$14,'Tax Tables'!$B$36)</f>
        <v>1000</v>
      </c>
      <c r="L465" s="11" t="n">
        <f aca="false">MAX(A465-K465,0)</f>
        <v>225000</v>
      </c>
      <c r="M465" s="11" t="n">
        <f aca="false">SUMPRODUCT((L465&gt;'Tax Tables'!$A$5:$A$17)*(L465-'Tax Tables'!$A$5:$A$17)*'Tax Tables'!$C$5:$C$17)</f>
        <v>25900</v>
      </c>
      <c r="N465" s="11" t="n">
        <f aca="false">IF(H465&lt;0,-1E+099,A465-E465-M465+J465+(E465+F465)*Calculator!$B$9)</f>
        <v>359735</v>
      </c>
      <c r="O465" s="2"/>
      <c r="P465" s="11" t="n">
        <f aca="false">452*$B$3</f>
        <v>226000</v>
      </c>
      <c r="Q465" s="11" t="n">
        <f aca="false">MIN(P465,'Tax Tables'!$B$31*'Tax Tables'!$B$32)</f>
        <v>96000</v>
      </c>
      <c r="R465" s="11" t="n">
        <f aca="false">P465-Q465</f>
        <v>130000</v>
      </c>
      <c r="S465" s="11" t="n">
        <f aca="false">IF(Calculator!$B$6="Yes",MIN(Q465,'Tax Tables'!$B$31*'Tax Tables'!$B$32),0)</f>
        <v>96000</v>
      </c>
      <c r="T465" s="11" t="n">
        <f aca="false">S465*Calculator!$B$7</f>
        <v>19200</v>
      </c>
      <c r="U465" s="11" t="n">
        <f aca="false">S465*Calculator!$B$8</f>
        <v>16320</v>
      </c>
      <c r="V465" s="11" t="n">
        <f aca="false">IF(Q465&gt;0,'Tax Tables'!$B$32*MIN(MAX(Q465/'Tax Tables'!$B$32*'Tax Tables'!$B$33,'Tax Tables'!$B$34),'Tax Tables'!$B$35),0)</f>
        <v>135</v>
      </c>
      <c r="W465" s="11" t="n">
        <f aca="false">Calculator!$B$5-P465-U465-V465</f>
        <v>157545</v>
      </c>
      <c r="X465" s="11" t="n">
        <f aca="false">'Tax Tables'!$B$22*(MAX(W465,0)-IF(Calculator!$B$10="Yes",MIN(MAX(W465,0),'Tax Tables'!$B$27)*'Tax Tables'!$B$28+MIN(MAX(MAX(W465,0)-'Tax Tables'!$B$27,0),'Tax Tables'!$B$29)*'Tax Tables'!$B$30,MIN(MAX(W465,0),'Tax Tables'!$B$23)*'Tax Tables'!$B$24+MIN(MAX(MAX(W465,0)-'Tax Tables'!$B$23,0),'Tax Tables'!$B$25)*'Tax Tables'!$B$26))*1-MIN('Tax Tables'!$B$22*(MAX(W465,0)-IF(Calculator!$B$10="Yes",MIN(MAX(W465,0),'Tax Tables'!$B$27)*'Tax Tables'!$B$28+MIN(MAX(MAX(W465,0)-'Tax Tables'!$B$27,0),'Tax Tables'!$B$29)*'Tax Tables'!$B$30,MIN(MAX(W465,0),'Tax Tables'!$B$23)*'Tax Tables'!$B$24+MIN(MAX(MAX(W465,0)-'Tax Tables'!$B$23,0),'Tax Tables'!$B$25)*'Tax Tables'!$B$26))*Calculator!$B$11,Calculator!$B$12)</f>
        <v>12966.325</v>
      </c>
      <c r="Y465" s="11" t="n">
        <f aca="false">MAX(W465,0)-X465</f>
        <v>144578.675</v>
      </c>
      <c r="Z465" s="11" t="n">
        <f aca="false">MIN(IF(P465&gt;0,Calculator!$B$13,0)+T465+Calculator!$B$14,'Tax Tables'!$B$36)</f>
        <v>20200</v>
      </c>
      <c r="AA465" s="11" t="n">
        <f aca="false">MAX(P465-Z465,0)</f>
        <v>205800</v>
      </c>
      <c r="AB465" s="11" t="n">
        <f aca="false">SUMPRODUCT((AA465&gt;'Tax Tables'!$A$5:$A$17)*(AA465-'Tax Tables'!$A$5:$A$17)*'Tax Tables'!$C$5:$C$17)</f>
        <v>22252</v>
      </c>
      <c r="AC465" s="11" t="n">
        <f aca="false">IF(W465&lt;0,-1E+099,P465-T465-AB465+Y465+(T465+U465)*Calculator!$B$9)</f>
        <v>364646.675</v>
      </c>
    </row>
    <row r="466" customFormat="false" ht="15" hidden="false" customHeight="false" outlineLevel="0" collapsed="false">
      <c r="A466" s="11" t="n">
        <f aca="false">453*$B$3</f>
        <v>226500</v>
      </c>
      <c r="B466" s="11" t="n">
        <f aca="false">0</f>
        <v>0</v>
      </c>
      <c r="C466" s="11" t="n">
        <f aca="false">A466-B466</f>
        <v>226500</v>
      </c>
      <c r="D466" s="11" t="n">
        <f aca="false">IF(Calculator!$B$6="Yes",MIN(B466,'Tax Tables'!$B$31*'Tax Tables'!$B$32),0)</f>
        <v>0</v>
      </c>
      <c r="E466" s="11" t="n">
        <f aca="false">D466*Calculator!$B$7</f>
        <v>0</v>
      </c>
      <c r="F466" s="11" t="n">
        <f aca="false">D466*Calculator!$B$8</f>
        <v>0</v>
      </c>
      <c r="G466" s="11" t="n">
        <f aca="false">IF(B466&gt;0,'Tax Tables'!$B$32*MIN(MAX(B466/'Tax Tables'!$B$32*'Tax Tables'!$B$33,'Tax Tables'!$B$34),'Tax Tables'!$B$35),0)</f>
        <v>0</v>
      </c>
      <c r="H466" s="11" t="n">
        <f aca="false">Calculator!$B$5-A466-F466-G466</f>
        <v>173500</v>
      </c>
      <c r="I466" s="11" t="n">
        <f aca="false">'Tax Tables'!$B$22*(MAX(H466,0)-IF(Calculator!$B$10="Yes",MIN(MAX(H466,0),'Tax Tables'!$B$27)*'Tax Tables'!$B$28+MIN(MAX(MAX(H466,0)-'Tax Tables'!$B$27,0),'Tax Tables'!$B$29)*'Tax Tables'!$B$30,MIN(MAX(H466,0),'Tax Tables'!$B$23)*'Tax Tables'!$B$24+MIN(MAX(MAX(H466,0)-'Tax Tables'!$B$23,0),'Tax Tables'!$B$25)*'Tax Tables'!$B$26))*1-MIN('Tax Tables'!$B$22*(MAX(H466,0)-IF(Calculator!$B$10="Yes",MIN(MAX(H466,0),'Tax Tables'!$B$27)*'Tax Tables'!$B$28+MIN(MAX(MAX(H466,0)-'Tax Tables'!$B$27,0),'Tax Tables'!$B$29)*'Tax Tables'!$B$30,MIN(MAX(H466,0),'Tax Tables'!$B$23)*'Tax Tables'!$B$24+MIN(MAX(MAX(H466,0)-'Tax Tables'!$B$23,0),'Tax Tables'!$B$25)*'Tax Tables'!$B$26))*Calculator!$B$11,Calculator!$B$12)</f>
        <v>14322.5</v>
      </c>
      <c r="J466" s="11" t="n">
        <f aca="false">MAX(H466,0)-I466</f>
        <v>159177.5</v>
      </c>
      <c r="K466" s="11" t="n">
        <f aca="false">MIN(IF(A466&gt;0,Calculator!$B$13,0)+E466+Calculator!$B$14,'Tax Tables'!$B$36)</f>
        <v>1000</v>
      </c>
      <c r="L466" s="11" t="n">
        <f aca="false">MAX(A466-K466,0)</f>
        <v>225500</v>
      </c>
      <c r="M466" s="11" t="n">
        <f aca="false">SUMPRODUCT((L466&gt;'Tax Tables'!$A$5:$A$17)*(L466-'Tax Tables'!$A$5:$A$17)*'Tax Tables'!$C$5:$C$17)</f>
        <v>25995</v>
      </c>
      <c r="N466" s="11" t="n">
        <f aca="false">IF(H466&lt;0,-1E+099,A466-E466-M466+J466+(E466+F466)*Calculator!$B$9)</f>
        <v>359682.5</v>
      </c>
      <c r="O466" s="2"/>
      <c r="P466" s="11" t="n">
        <f aca="false">453*$B$3</f>
        <v>226500</v>
      </c>
      <c r="Q466" s="11" t="n">
        <f aca="false">MIN(P466,'Tax Tables'!$B$31*'Tax Tables'!$B$32)</f>
        <v>96000</v>
      </c>
      <c r="R466" s="11" t="n">
        <f aca="false">P466-Q466</f>
        <v>130500</v>
      </c>
      <c r="S466" s="11" t="n">
        <f aca="false">IF(Calculator!$B$6="Yes",MIN(Q466,'Tax Tables'!$B$31*'Tax Tables'!$B$32),0)</f>
        <v>96000</v>
      </c>
      <c r="T466" s="11" t="n">
        <f aca="false">S466*Calculator!$B$7</f>
        <v>19200</v>
      </c>
      <c r="U466" s="11" t="n">
        <f aca="false">S466*Calculator!$B$8</f>
        <v>16320</v>
      </c>
      <c r="V466" s="11" t="n">
        <f aca="false">IF(Q466&gt;0,'Tax Tables'!$B$32*MIN(MAX(Q466/'Tax Tables'!$B$32*'Tax Tables'!$B$33,'Tax Tables'!$B$34),'Tax Tables'!$B$35),0)</f>
        <v>135</v>
      </c>
      <c r="W466" s="11" t="n">
        <f aca="false">Calculator!$B$5-P466-U466-V466</f>
        <v>157045</v>
      </c>
      <c r="X466" s="11" t="n">
        <f aca="false">'Tax Tables'!$B$22*(MAX(W466,0)-IF(Calculator!$B$10="Yes",MIN(MAX(W466,0),'Tax Tables'!$B$27)*'Tax Tables'!$B$28+MIN(MAX(MAX(W466,0)-'Tax Tables'!$B$27,0),'Tax Tables'!$B$29)*'Tax Tables'!$B$30,MIN(MAX(W466,0),'Tax Tables'!$B$23)*'Tax Tables'!$B$24+MIN(MAX(MAX(W466,0)-'Tax Tables'!$B$23,0),'Tax Tables'!$B$25)*'Tax Tables'!$B$26))*1-MIN('Tax Tables'!$B$22*(MAX(W466,0)-IF(Calculator!$B$10="Yes",MIN(MAX(W466,0),'Tax Tables'!$B$27)*'Tax Tables'!$B$28+MIN(MAX(MAX(W466,0)-'Tax Tables'!$B$27,0),'Tax Tables'!$B$29)*'Tax Tables'!$B$30,MIN(MAX(W466,0),'Tax Tables'!$B$23)*'Tax Tables'!$B$24+MIN(MAX(MAX(W466,0)-'Tax Tables'!$B$23,0),'Tax Tables'!$B$25)*'Tax Tables'!$B$26))*Calculator!$B$11,Calculator!$B$12)</f>
        <v>12923.825</v>
      </c>
      <c r="Y466" s="11" t="n">
        <f aca="false">MAX(W466,0)-X466</f>
        <v>144121.175</v>
      </c>
      <c r="Z466" s="11" t="n">
        <f aca="false">MIN(IF(P466&gt;0,Calculator!$B$13,0)+T466+Calculator!$B$14,'Tax Tables'!$B$36)</f>
        <v>20200</v>
      </c>
      <c r="AA466" s="11" t="n">
        <f aca="false">MAX(P466-Z466,0)</f>
        <v>206300</v>
      </c>
      <c r="AB466" s="11" t="n">
        <f aca="false">SUMPRODUCT((AA466&gt;'Tax Tables'!$A$5:$A$17)*(AA466-'Tax Tables'!$A$5:$A$17)*'Tax Tables'!$C$5:$C$17)</f>
        <v>22347</v>
      </c>
      <c r="AC466" s="11" t="n">
        <f aca="false">IF(W466&lt;0,-1E+099,P466-T466-AB466+Y466+(T466+U466)*Calculator!$B$9)</f>
        <v>364594.175</v>
      </c>
    </row>
    <row r="467" customFormat="false" ht="15" hidden="false" customHeight="false" outlineLevel="0" collapsed="false">
      <c r="A467" s="11" t="n">
        <f aca="false">454*$B$3</f>
        <v>227000</v>
      </c>
      <c r="B467" s="11" t="n">
        <f aca="false">0</f>
        <v>0</v>
      </c>
      <c r="C467" s="11" t="n">
        <f aca="false">A467-B467</f>
        <v>227000</v>
      </c>
      <c r="D467" s="11" t="n">
        <f aca="false">IF(Calculator!$B$6="Yes",MIN(B467,'Tax Tables'!$B$31*'Tax Tables'!$B$32),0)</f>
        <v>0</v>
      </c>
      <c r="E467" s="11" t="n">
        <f aca="false">D467*Calculator!$B$7</f>
        <v>0</v>
      </c>
      <c r="F467" s="11" t="n">
        <f aca="false">D467*Calculator!$B$8</f>
        <v>0</v>
      </c>
      <c r="G467" s="11" t="n">
        <f aca="false">IF(B467&gt;0,'Tax Tables'!$B$32*MIN(MAX(B467/'Tax Tables'!$B$32*'Tax Tables'!$B$33,'Tax Tables'!$B$34),'Tax Tables'!$B$35),0)</f>
        <v>0</v>
      </c>
      <c r="H467" s="11" t="n">
        <f aca="false">Calculator!$B$5-A467-F467-G467</f>
        <v>173000</v>
      </c>
      <c r="I467" s="11" t="n">
        <f aca="false">'Tax Tables'!$B$22*(MAX(H467,0)-IF(Calculator!$B$10="Yes",MIN(MAX(H467,0),'Tax Tables'!$B$27)*'Tax Tables'!$B$28+MIN(MAX(MAX(H467,0)-'Tax Tables'!$B$27,0),'Tax Tables'!$B$29)*'Tax Tables'!$B$30,MIN(MAX(H467,0),'Tax Tables'!$B$23)*'Tax Tables'!$B$24+MIN(MAX(MAX(H467,0)-'Tax Tables'!$B$23,0),'Tax Tables'!$B$25)*'Tax Tables'!$B$26))*1-MIN('Tax Tables'!$B$22*(MAX(H467,0)-IF(Calculator!$B$10="Yes",MIN(MAX(H467,0),'Tax Tables'!$B$27)*'Tax Tables'!$B$28+MIN(MAX(MAX(H467,0)-'Tax Tables'!$B$27,0),'Tax Tables'!$B$29)*'Tax Tables'!$B$30,MIN(MAX(H467,0),'Tax Tables'!$B$23)*'Tax Tables'!$B$24+MIN(MAX(MAX(H467,0)-'Tax Tables'!$B$23,0),'Tax Tables'!$B$25)*'Tax Tables'!$B$26))*Calculator!$B$11,Calculator!$B$12)</f>
        <v>14280</v>
      </c>
      <c r="J467" s="11" t="n">
        <f aca="false">MAX(H467,0)-I467</f>
        <v>158720</v>
      </c>
      <c r="K467" s="11" t="n">
        <f aca="false">MIN(IF(A467&gt;0,Calculator!$B$13,0)+E467+Calculator!$B$14,'Tax Tables'!$B$36)</f>
        <v>1000</v>
      </c>
      <c r="L467" s="11" t="n">
        <f aca="false">MAX(A467-K467,0)</f>
        <v>226000</v>
      </c>
      <c r="M467" s="11" t="n">
        <f aca="false">SUMPRODUCT((L467&gt;'Tax Tables'!$A$5:$A$17)*(L467-'Tax Tables'!$A$5:$A$17)*'Tax Tables'!$C$5:$C$17)</f>
        <v>26090</v>
      </c>
      <c r="N467" s="11" t="n">
        <f aca="false">IF(H467&lt;0,-1E+099,A467-E467-M467+J467+(E467+F467)*Calculator!$B$9)</f>
        <v>359630</v>
      </c>
      <c r="O467" s="2"/>
      <c r="P467" s="11" t="n">
        <f aca="false">454*$B$3</f>
        <v>227000</v>
      </c>
      <c r="Q467" s="11" t="n">
        <f aca="false">MIN(P467,'Tax Tables'!$B$31*'Tax Tables'!$B$32)</f>
        <v>96000</v>
      </c>
      <c r="R467" s="11" t="n">
        <f aca="false">P467-Q467</f>
        <v>131000</v>
      </c>
      <c r="S467" s="11" t="n">
        <f aca="false">IF(Calculator!$B$6="Yes",MIN(Q467,'Tax Tables'!$B$31*'Tax Tables'!$B$32),0)</f>
        <v>96000</v>
      </c>
      <c r="T467" s="11" t="n">
        <f aca="false">S467*Calculator!$B$7</f>
        <v>19200</v>
      </c>
      <c r="U467" s="11" t="n">
        <f aca="false">S467*Calculator!$B$8</f>
        <v>16320</v>
      </c>
      <c r="V467" s="11" t="n">
        <f aca="false">IF(Q467&gt;0,'Tax Tables'!$B$32*MIN(MAX(Q467/'Tax Tables'!$B$32*'Tax Tables'!$B$33,'Tax Tables'!$B$34),'Tax Tables'!$B$35),0)</f>
        <v>135</v>
      </c>
      <c r="W467" s="11" t="n">
        <f aca="false">Calculator!$B$5-P467-U467-V467</f>
        <v>156545</v>
      </c>
      <c r="X467" s="11" t="n">
        <f aca="false">'Tax Tables'!$B$22*(MAX(W467,0)-IF(Calculator!$B$10="Yes",MIN(MAX(W467,0),'Tax Tables'!$B$27)*'Tax Tables'!$B$28+MIN(MAX(MAX(W467,0)-'Tax Tables'!$B$27,0),'Tax Tables'!$B$29)*'Tax Tables'!$B$30,MIN(MAX(W467,0),'Tax Tables'!$B$23)*'Tax Tables'!$B$24+MIN(MAX(MAX(W467,0)-'Tax Tables'!$B$23,0),'Tax Tables'!$B$25)*'Tax Tables'!$B$26))*1-MIN('Tax Tables'!$B$22*(MAX(W467,0)-IF(Calculator!$B$10="Yes",MIN(MAX(W467,0),'Tax Tables'!$B$27)*'Tax Tables'!$B$28+MIN(MAX(MAX(W467,0)-'Tax Tables'!$B$27,0),'Tax Tables'!$B$29)*'Tax Tables'!$B$30,MIN(MAX(W467,0),'Tax Tables'!$B$23)*'Tax Tables'!$B$24+MIN(MAX(MAX(W467,0)-'Tax Tables'!$B$23,0),'Tax Tables'!$B$25)*'Tax Tables'!$B$26))*Calculator!$B$11,Calculator!$B$12)</f>
        <v>12881.325</v>
      </c>
      <c r="Y467" s="11" t="n">
        <f aca="false">MAX(W467,0)-X467</f>
        <v>143663.675</v>
      </c>
      <c r="Z467" s="11" t="n">
        <f aca="false">MIN(IF(P467&gt;0,Calculator!$B$13,0)+T467+Calculator!$B$14,'Tax Tables'!$B$36)</f>
        <v>20200</v>
      </c>
      <c r="AA467" s="11" t="n">
        <f aca="false">MAX(P467-Z467,0)</f>
        <v>206800</v>
      </c>
      <c r="AB467" s="11" t="n">
        <f aca="false">SUMPRODUCT((AA467&gt;'Tax Tables'!$A$5:$A$17)*(AA467-'Tax Tables'!$A$5:$A$17)*'Tax Tables'!$C$5:$C$17)</f>
        <v>22442</v>
      </c>
      <c r="AC467" s="11" t="n">
        <f aca="false">IF(W467&lt;0,-1E+099,P467-T467-AB467+Y467+(T467+U467)*Calculator!$B$9)</f>
        <v>364541.675</v>
      </c>
    </row>
    <row r="468" customFormat="false" ht="15" hidden="false" customHeight="false" outlineLevel="0" collapsed="false">
      <c r="A468" s="11" t="n">
        <f aca="false">455*$B$3</f>
        <v>227500</v>
      </c>
      <c r="B468" s="11" t="n">
        <f aca="false">0</f>
        <v>0</v>
      </c>
      <c r="C468" s="11" t="n">
        <f aca="false">A468-B468</f>
        <v>227500</v>
      </c>
      <c r="D468" s="11" t="n">
        <f aca="false">IF(Calculator!$B$6="Yes",MIN(B468,'Tax Tables'!$B$31*'Tax Tables'!$B$32),0)</f>
        <v>0</v>
      </c>
      <c r="E468" s="11" t="n">
        <f aca="false">D468*Calculator!$B$7</f>
        <v>0</v>
      </c>
      <c r="F468" s="11" t="n">
        <f aca="false">D468*Calculator!$B$8</f>
        <v>0</v>
      </c>
      <c r="G468" s="11" t="n">
        <f aca="false">IF(B468&gt;0,'Tax Tables'!$B$32*MIN(MAX(B468/'Tax Tables'!$B$32*'Tax Tables'!$B$33,'Tax Tables'!$B$34),'Tax Tables'!$B$35),0)</f>
        <v>0</v>
      </c>
      <c r="H468" s="11" t="n">
        <f aca="false">Calculator!$B$5-A468-F468-G468</f>
        <v>172500</v>
      </c>
      <c r="I468" s="11" t="n">
        <f aca="false">'Tax Tables'!$B$22*(MAX(H468,0)-IF(Calculator!$B$10="Yes",MIN(MAX(H468,0),'Tax Tables'!$B$27)*'Tax Tables'!$B$28+MIN(MAX(MAX(H468,0)-'Tax Tables'!$B$27,0),'Tax Tables'!$B$29)*'Tax Tables'!$B$30,MIN(MAX(H468,0),'Tax Tables'!$B$23)*'Tax Tables'!$B$24+MIN(MAX(MAX(H468,0)-'Tax Tables'!$B$23,0),'Tax Tables'!$B$25)*'Tax Tables'!$B$26))*1-MIN('Tax Tables'!$B$22*(MAX(H468,0)-IF(Calculator!$B$10="Yes",MIN(MAX(H468,0),'Tax Tables'!$B$27)*'Tax Tables'!$B$28+MIN(MAX(MAX(H468,0)-'Tax Tables'!$B$27,0),'Tax Tables'!$B$29)*'Tax Tables'!$B$30,MIN(MAX(H468,0),'Tax Tables'!$B$23)*'Tax Tables'!$B$24+MIN(MAX(MAX(H468,0)-'Tax Tables'!$B$23,0),'Tax Tables'!$B$25)*'Tax Tables'!$B$26))*Calculator!$B$11,Calculator!$B$12)</f>
        <v>14237.5</v>
      </c>
      <c r="J468" s="11" t="n">
        <f aca="false">MAX(H468,0)-I468</f>
        <v>158262.5</v>
      </c>
      <c r="K468" s="11" t="n">
        <f aca="false">MIN(IF(A468&gt;0,Calculator!$B$13,0)+E468+Calculator!$B$14,'Tax Tables'!$B$36)</f>
        <v>1000</v>
      </c>
      <c r="L468" s="11" t="n">
        <f aca="false">MAX(A468-K468,0)</f>
        <v>226500</v>
      </c>
      <c r="M468" s="11" t="n">
        <f aca="false">SUMPRODUCT((L468&gt;'Tax Tables'!$A$5:$A$17)*(L468-'Tax Tables'!$A$5:$A$17)*'Tax Tables'!$C$5:$C$17)</f>
        <v>26185</v>
      </c>
      <c r="N468" s="11" t="n">
        <f aca="false">IF(H468&lt;0,-1E+099,A468-E468-M468+J468+(E468+F468)*Calculator!$B$9)</f>
        <v>359577.5</v>
      </c>
      <c r="O468" s="2"/>
      <c r="P468" s="11" t="n">
        <f aca="false">455*$B$3</f>
        <v>227500</v>
      </c>
      <c r="Q468" s="11" t="n">
        <f aca="false">MIN(P468,'Tax Tables'!$B$31*'Tax Tables'!$B$32)</f>
        <v>96000</v>
      </c>
      <c r="R468" s="11" t="n">
        <f aca="false">P468-Q468</f>
        <v>131500</v>
      </c>
      <c r="S468" s="11" t="n">
        <f aca="false">IF(Calculator!$B$6="Yes",MIN(Q468,'Tax Tables'!$B$31*'Tax Tables'!$B$32),0)</f>
        <v>96000</v>
      </c>
      <c r="T468" s="11" t="n">
        <f aca="false">S468*Calculator!$B$7</f>
        <v>19200</v>
      </c>
      <c r="U468" s="11" t="n">
        <f aca="false">S468*Calculator!$B$8</f>
        <v>16320</v>
      </c>
      <c r="V468" s="11" t="n">
        <f aca="false">IF(Q468&gt;0,'Tax Tables'!$B$32*MIN(MAX(Q468/'Tax Tables'!$B$32*'Tax Tables'!$B$33,'Tax Tables'!$B$34),'Tax Tables'!$B$35),0)</f>
        <v>135</v>
      </c>
      <c r="W468" s="11" t="n">
        <f aca="false">Calculator!$B$5-P468-U468-V468</f>
        <v>156045</v>
      </c>
      <c r="X468" s="11" t="n">
        <f aca="false">'Tax Tables'!$B$22*(MAX(W468,0)-IF(Calculator!$B$10="Yes",MIN(MAX(W468,0),'Tax Tables'!$B$27)*'Tax Tables'!$B$28+MIN(MAX(MAX(W468,0)-'Tax Tables'!$B$27,0),'Tax Tables'!$B$29)*'Tax Tables'!$B$30,MIN(MAX(W468,0),'Tax Tables'!$B$23)*'Tax Tables'!$B$24+MIN(MAX(MAX(W468,0)-'Tax Tables'!$B$23,0),'Tax Tables'!$B$25)*'Tax Tables'!$B$26))*1-MIN('Tax Tables'!$B$22*(MAX(W468,0)-IF(Calculator!$B$10="Yes",MIN(MAX(W468,0),'Tax Tables'!$B$27)*'Tax Tables'!$B$28+MIN(MAX(MAX(W468,0)-'Tax Tables'!$B$27,0),'Tax Tables'!$B$29)*'Tax Tables'!$B$30,MIN(MAX(W468,0),'Tax Tables'!$B$23)*'Tax Tables'!$B$24+MIN(MAX(MAX(W468,0)-'Tax Tables'!$B$23,0),'Tax Tables'!$B$25)*'Tax Tables'!$B$26))*Calculator!$B$11,Calculator!$B$12)</f>
        <v>12838.825</v>
      </c>
      <c r="Y468" s="11" t="n">
        <f aca="false">MAX(W468,0)-X468</f>
        <v>143206.175</v>
      </c>
      <c r="Z468" s="11" t="n">
        <f aca="false">MIN(IF(P468&gt;0,Calculator!$B$13,0)+T468+Calculator!$B$14,'Tax Tables'!$B$36)</f>
        <v>20200</v>
      </c>
      <c r="AA468" s="11" t="n">
        <f aca="false">MAX(P468-Z468,0)</f>
        <v>207300</v>
      </c>
      <c r="AB468" s="11" t="n">
        <f aca="false">SUMPRODUCT((AA468&gt;'Tax Tables'!$A$5:$A$17)*(AA468-'Tax Tables'!$A$5:$A$17)*'Tax Tables'!$C$5:$C$17)</f>
        <v>22537</v>
      </c>
      <c r="AC468" s="11" t="n">
        <f aca="false">IF(W468&lt;0,-1E+099,P468-T468-AB468+Y468+(T468+U468)*Calculator!$B$9)</f>
        <v>364489.175</v>
      </c>
    </row>
    <row r="469" customFormat="false" ht="15" hidden="false" customHeight="false" outlineLevel="0" collapsed="false">
      <c r="A469" s="11" t="n">
        <f aca="false">456*$B$3</f>
        <v>228000</v>
      </c>
      <c r="B469" s="11" t="n">
        <f aca="false">0</f>
        <v>0</v>
      </c>
      <c r="C469" s="11" t="n">
        <f aca="false">A469-B469</f>
        <v>228000</v>
      </c>
      <c r="D469" s="11" t="n">
        <f aca="false">IF(Calculator!$B$6="Yes",MIN(B469,'Tax Tables'!$B$31*'Tax Tables'!$B$32),0)</f>
        <v>0</v>
      </c>
      <c r="E469" s="11" t="n">
        <f aca="false">D469*Calculator!$B$7</f>
        <v>0</v>
      </c>
      <c r="F469" s="11" t="n">
        <f aca="false">D469*Calculator!$B$8</f>
        <v>0</v>
      </c>
      <c r="G469" s="11" t="n">
        <f aca="false">IF(B469&gt;0,'Tax Tables'!$B$32*MIN(MAX(B469/'Tax Tables'!$B$32*'Tax Tables'!$B$33,'Tax Tables'!$B$34),'Tax Tables'!$B$35),0)</f>
        <v>0</v>
      </c>
      <c r="H469" s="11" t="n">
        <f aca="false">Calculator!$B$5-A469-F469-G469</f>
        <v>172000</v>
      </c>
      <c r="I469" s="11" t="n">
        <f aca="false">'Tax Tables'!$B$22*(MAX(H469,0)-IF(Calculator!$B$10="Yes",MIN(MAX(H469,0),'Tax Tables'!$B$27)*'Tax Tables'!$B$28+MIN(MAX(MAX(H469,0)-'Tax Tables'!$B$27,0),'Tax Tables'!$B$29)*'Tax Tables'!$B$30,MIN(MAX(H469,0),'Tax Tables'!$B$23)*'Tax Tables'!$B$24+MIN(MAX(MAX(H469,0)-'Tax Tables'!$B$23,0),'Tax Tables'!$B$25)*'Tax Tables'!$B$26))*1-MIN('Tax Tables'!$B$22*(MAX(H469,0)-IF(Calculator!$B$10="Yes",MIN(MAX(H469,0),'Tax Tables'!$B$27)*'Tax Tables'!$B$28+MIN(MAX(MAX(H469,0)-'Tax Tables'!$B$27,0),'Tax Tables'!$B$29)*'Tax Tables'!$B$30,MIN(MAX(H469,0),'Tax Tables'!$B$23)*'Tax Tables'!$B$24+MIN(MAX(MAX(H469,0)-'Tax Tables'!$B$23,0),'Tax Tables'!$B$25)*'Tax Tables'!$B$26))*Calculator!$B$11,Calculator!$B$12)</f>
        <v>14195</v>
      </c>
      <c r="J469" s="11" t="n">
        <f aca="false">MAX(H469,0)-I469</f>
        <v>157805</v>
      </c>
      <c r="K469" s="11" t="n">
        <f aca="false">MIN(IF(A469&gt;0,Calculator!$B$13,0)+E469+Calculator!$B$14,'Tax Tables'!$B$36)</f>
        <v>1000</v>
      </c>
      <c r="L469" s="11" t="n">
        <f aca="false">MAX(A469-K469,0)</f>
        <v>227000</v>
      </c>
      <c r="M469" s="11" t="n">
        <f aca="false">SUMPRODUCT((L469&gt;'Tax Tables'!$A$5:$A$17)*(L469-'Tax Tables'!$A$5:$A$17)*'Tax Tables'!$C$5:$C$17)</f>
        <v>26280</v>
      </c>
      <c r="N469" s="11" t="n">
        <f aca="false">IF(H469&lt;0,-1E+099,A469-E469-M469+J469+(E469+F469)*Calculator!$B$9)</f>
        <v>359525</v>
      </c>
      <c r="O469" s="2"/>
      <c r="P469" s="11" t="n">
        <f aca="false">456*$B$3</f>
        <v>228000</v>
      </c>
      <c r="Q469" s="11" t="n">
        <f aca="false">MIN(P469,'Tax Tables'!$B$31*'Tax Tables'!$B$32)</f>
        <v>96000</v>
      </c>
      <c r="R469" s="11" t="n">
        <f aca="false">P469-Q469</f>
        <v>132000</v>
      </c>
      <c r="S469" s="11" t="n">
        <f aca="false">IF(Calculator!$B$6="Yes",MIN(Q469,'Tax Tables'!$B$31*'Tax Tables'!$B$32),0)</f>
        <v>96000</v>
      </c>
      <c r="T469" s="11" t="n">
        <f aca="false">S469*Calculator!$B$7</f>
        <v>19200</v>
      </c>
      <c r="U469" s="11" t="n">
        <f aca="false">S469*Calculator!$B$8</f>
        <v>16320</v>
      </c>
      <c r="V469" s="11" t="n">
        <f aca="false">IF(Q469&gt;0,'Tax Tables'!$B$32*MIN(MAX(Q469/'Tax Tables'!$B$32*'Tax Tables'!$B$33,'Tax Tables'!$B$34),'Tax Tables'!$B$35),0)</f>
        <v>135</v>
      </c>
      <c r="W469" s="11" t="n">
        <f aca="false">Calculator!$B$5-P469-U469-V469</f>
        <v>155545</v>
      </c>
      <c r="X469" s="11" t="n">
        <f aca="false">'Tax Tables'!$B$22*(MAX(W469,0)-IF(Calculator!$B$10="Yes",MIN(MAX(W469,0),'Tax Tables'!$B$27)*'Tax Tables'!$B$28+MIN(MAX(MAX(W469,0)-'Tax Tables'!$B$27,0),'Tax Tables'!$B$29)*'Tax Tables'!$B$30,MIN(MAX(W469,0),'Tax Tables'!$B$23)*'Tax Tables'!$B$24+MIN(MAX(MAX(W469,0)-'Tax Tables'!$B$23,0),'Tax Tables'!$B$25)*'Tax Tables'!$B$26))*1-MIN('Tax Tables'!$B$22*(MAX(W469,0)-IF(Calculator!$B$10="Yes",MIN(MAX(W469,0),'Tax Tables'!$B$27)*'Tax Tables'!$B$28+MIN(MAX(MAX(W469,0)-'Tax Tables'!$B$27,0),'Tax Tables'!$B$29)*'Tax Tables'!$B$30,MIN(MAX(W469,0),'Tax Tables'!$B$23)*'Tax Tables'!$B$24+MIN(MAX(MAX(W469,0)-'Tax Tables'!$B$23,0),'Tax Tables'!$B$25)*'Tax Tables'!$B$26))*Calculator!$B$11,Calculator!$B$12)</f>
        <v>12796.325</v>
      </c>
      <c r="Y469" s="11" t="n">
        <f aca="false">MAX(W469,0)-X469</f>
        <v>142748.675</v>
      </c>
      <c r="Z469" s="11" t="n">
        <f aca="false">MIN(IF(P469&gt;0,Calculator!$B$13,0)+T469+Calculator!$B$14,'Tax Tables'!$B$36)</f>
        <v>20200</v>
      </c>
      <c r="AA469" s="11" t="n">
        <f aca="false">MAX(P469-Z469,0)</f>
        <v>207800</v>
      </c>
      <c r="AB469" s="11" t="n">
        <f aca="false">SUMPRODUCT((AA469&gt;'Tax Tables'!$A$5:$A$17)*(AA469-'Tax Tables'!$A$5:$A$17)*'Tax Tables'!$C$5:$C$17)</f>
        <v>22632</v>
      </c>
      <c r="AC469" s="11" t="n">
        <f aca="false">IF(W469&lt;0,-1E+099,P469-T469-AB469+Y469+(T469+U469)*Calculator!$B$9)</f>
        <v>364436.675</v>
      </c>
    </row>
    <row r="470" customFormat="false" ht="15" hidden="false" customHeight="false" outlineLevel="0" collapsed="false">
      <c r="A470" s="11" t="n">
        <f aca="false">457*$B$3</f>
        <v>228500</v>
      </c>
      <c r="B470" s="11" t="n">
        <f aca="false">0</f>
        <v>0</v>
      </c>
      <c r="C470" s="11" t="n">
        <f aca="false">A470-B470</f>
        <v>228500</v>
      </c>
      <c r="D470" s="11" t="n">
        <f aca="false">IF(Calculator!$B$6="Yes",MIN(B470,'Tax Tables'!$B$31*'Tax Tables'!$B$32),0)</f>
        <v>0</v>
      </c>
      <c r="E470" s="11" t="n">
        <f aca="false">D470*Calculator!$B$7</f>
        <v>0</v>
      </c>
      <c r="F470" s="11" t="n">
        <f aca="false">D470*Calculator!$B$8</f>
        <v>0</v>
      </c>
      <c r="G470" s="11" t="n">
        <f aca="false">IF(B470&gt;0,'Tax Tables'!$B$32*MIN(MAX(B470/'Tax Tables'!$B$32*'Tax Tables'!$B$33,'Tax Tables'!$B$34),'Tax Tables'!$B$35),0)</f>
        <v>0</v>
      </c>
      <c r="H470" s="11" t="n">
        <f aca="false">Calculator!$B$5-A470-F470-G470</f>
        <v>171500</v>
      </c>
      <c r="I470" s="11" t="n">
        <f aca="false">'Tax Tables'!$B$22*(MAX(H470,0)-IF(Calculator!$B$10="Yes",MIN(MAX(H470,0),'Tax Tables'!$B$27)*'Tax Tables'!$B$28+MIN(MAX(MAX(H470,0)-'Tax Tables'!$B$27,0),'Tax Tables'!$B$29)*'Tax Tables'!$B$30,MIN(MAX(H470,0),'Tax Tables'!$B$23)*'Tax Tables'!$B$24+MIN(MAX(MAX(H470,0)-'Tax Tables'!$B$23,0),'Tax Tables'!$B$25)*'Tax Tables'!$B$26))*1-MIN('Tax Tables'!$B$22*(MAX(H470,0)-IF(Calculator!$B$10="Yes",MIN(MAX(H470,0),'Tax Tables'!$B$27)*'Tax Tables'!$B$28+MIN(MAX(MAX(H470,0)-'Tax Tables'!$B$27,0),'Tax Tables'!$B$29)*'Tax Tables'!$B$30,MIN(MAX(H470,0),'Tax Tables'!$B$23)*'Tax Tables'!$B$24+MIN(MAX(MAX(H470,0)-'Tax Tables'!$B$23,0),'Tax Tables'!$B$25)*'Tax Tables'!$B$26))*Calculator!$B$11,Calculator!$B$12)</f>
        <v>14152.5</v>
      </c>
      <c r="J470" s="11" t="n">
        <f aca="false">MAX(H470,0)-I470</f>
        <v>157347.5</v>
      </c>
      <c r="K470" s="11" t="n">
        <f aca="false">MIN(IF(A470&gt;0,Calculator!$B$13,0)+E470+Calculator!$B$14,'Tax Tables'!$B$36)</f>
        <v>1000</v>
      </c>
      <c r="L470" s="11" t="n">
        <f aca="false">MAX(A470-K470,0)</f>
        <v>227500</v>
      </c>
      <c r="M470" s="11" t="n">
        <f aca="false">SUMPRODUCT((L470&gt;'Tax Tables'!$A$5:$A$17)*(L470-'Tax Tables'!$A$5:$A$17)*'Tax Tables'!$C$5:$C$17)</f>
        <v>26375</v>
      </c>
      <c r="N470" s="11" t="n">
        <f aca="false">IF(H470&lt;0,-1E+099,A470-E470-M470+J470+(E470+F470)*Calculator!$B$9)</f>
        <v>359472.5</v>
      </c>
      <c r="O470" s="2"/>
      <c r="P470" s="11" t="n">
        <f aca="false">457*$B$3</f>
        <v>228500</v>
      </c>
      <c r="Q470" s="11" t="n">
        <f aca="false">MIN(P470,'Tax Tables'!$B$31*'Tax Tables'!$B$32)</f>
        <v>96000</v>
      </c>
      <c r="R470" s="11" t="n">
        <f aca="false">P470-Q470</f>
        <v>132500</v>
      </c>
      <c r="S470" s="11" t="n">
        <f aca="false">IF(Calculator!$B$6="Yes",MIN(Q470,'Tax Tables'!$B$31*'Tax Tables'!$B$32),0)</f>
        <v>96000</v>
      </c>
      <c r="T470" s="11" t="n">
        <f aca="false">S470*Calculator!$B$7</f>
        <v>19200</v>
      </c>
      <c r="U470" s="11" t="n">
        <f aca="false">S470*Calculator!$B$8</f>
        <v>16320</v>
      </c>
      <c r="V470" s="11" t="n">
        <f aca="false">IF(Q470&gt;0,'Tax Tables'!$B$32*MIN(MAX(Q470/'Tax Tables'!$B$32*'Tax Tables'!$B$33,'Tax Tables'!$B$34),'Tax Tables'!$B$35),0)</f>
        <v>135</v>
      </c>
      <c r="W470" s="11" t="n">
        <f aca="false">Calculator!$B$5-P470-U470-V470</f>
        <v>155045</v>
      </c>
      <c r="X470" s="11" t="n">
        <f aca="false">'Tax Tables'!$B$22*(MAX(W470,0)-IF(Calculator!$B$10="Yes",MIN(MAX(W470,0),'Tax Tables'!$B$27)*'Tax Tables'!$B$28+MIN(MAX(MAX(W470,0)-'Tax Tables'!$B$27,0),'Tax Tables'!$B$29)*'Tax Tables'!$B$30,MIN(MAX(W470,0),'Tax Tables'!$B$23)*'Tax Tables'!$B$24+MIN(MAX(MAX(W470,0)-'Tax Tables'!$B$23,0),'Tax Tables'!$B$25)*'Tax Tables'!$B$26))*1-MIN('Tax Tables'!$B$22*(MAX(W470,0)-IF(Calculator!$B$10="Yes",MIN(MAX(W470,0),'Tax Tables'!$B$27)*'Tax Tables'!$B$28+MIN(MAX(MAX(W470,0)-'Tax Tables'!$B$27,0),'Tax Tables'!$B$29)*'Tax Tables'!$B$30,MIN(MAX(W470,0),'Tax Tables'!$B$23)*'Tax Tables'!$B$24+MIN(MAX(MAX(W470,0)-'Tax Tables'!$B$23,0),'Tax Tables'!$B$25)*'Tax Tables'!$B$26))*Calculator!$B$11,Calculator!$B$12)</f>
        <v>12753.825</v>
      </c>
      <c r="Y470" s="11" t="n">
        <f aca="false">MAX(W470,0)-X470</f>
        <v>142291.175</v>
      </c>
      <c r="Z470" s="11" t="n">
        <f aca="false">MIN(IF(P470&gt;0,Calculator!$B$13,0)+T470+Calculator!$B$14,'Tax Tables'!$B$36)</f>
        <v>20200</v>
      </c>
      <c r="AA470" s="11" t="n">
        <f aca="false">MAX(P470-Z470,0)</f>
        <v>208300</v>
      </c>
      <c r="AB470" s="11" t="n">
        <f aca="false">SUMPRODUCT((AA470&gt;'Tax Tables'!$A$5:$A$17)*(AA470-'Tax Tables'!$A$5:$A$17)*'Tax Tables'!$C$5:$C$17)</f>
        <v>22727</v>
      </c>
      <c r="AC470" s="11" t="n">
        <f aca="false">IF(W470&lt;0,-1E+099,P470-T470-AB470+Y470+(T470+U470)*Calculator!$B$9)</f>
        <v>364384.175</v>
      </c>
    </row>
    <row r="471" customFormat="false" ht="15" hidden="false" customHeight="false" outlineLevel="0" collapsed="false">
      <c r="A471" s="11" t="n">
        <f aca="false">458*$B$3</f>
        <v>229000</v>
      </c>
      <c r="B471" s="11" t="n">
        <f aca="false">0</f>
        <v>0</v>
      </c>
      <c r="C471" s="11" t="n">
        <f aca="false">A471-B471</f>
        <v>229000</v>
      </c>
      <c r="D471" s="11" t="n">
        <f aca="false">IF(Calculator!$B$6="Yes",MIN(B471,'Tax Tables'!$B$31*'Tax Tables'!$B$32),0)</f>
        <v>0</v>
      </c>
      <c r="E471" s="11" t="n">
        <f aca="false">D471*Calculator!$B$7</f>
        <v>0</v>
      </c>
      <c r="F471" s="11" t="n">
        <f aca="false">D471*Calculator!$B$8</f>
        <v>0</v>
      </c>
      <c r="G471" s="11" t="n">
        <f aca="false">IF(B471&gt;0,'Tax Tables'!$B$32*MIN(MAX(B471/'Tax Tables'!$B$32*'Tax Tables'!$B$33,'Tax Tables'!$B$34),'Tax Tables'!$B$35),0)</f>
        <v>0</v>
      </c>
      <c r="H471" s="11" t="n">
        <f aca="false">Calculator!$B$5-A471-F471-G471</f>
        <v>171000</v>
      </c>
      <c r="I471" s="11" t="n">
        <f aca="false">'Tax Tables'!$B$22*(MAX(H471,0)-IF(Calculator!$B$10="Yes",MIN(MAX(H471,0),'Tax Tables'!$B$27)*'Tax Tables'!$B$28+MIN(MAX(MAX(H471,0)-'Tax Tables'!$B$27,0),'Tax Tables'!$B$29)*'Tax Tables'!$B$30,MIN(MAX(H471,0),'Tax Tables'!$B$23)*'Tax Tables'!$B$24+MIN(MAX(MAX(H471,0)-'Tax Tables'!$B$23,0),'Tax Tables'!$B$25)*'Tax Tables'!$B$26))*1-MIN('Tax Tables'!$B$22*(MAX(H471,0)-IF(Calculator!$B$10="Yes",MIN(MAX(H471,0),'Tax Tables'!$B$27)*'Tax Tables'!$B$28+MIN(MAX(MAX(H471,0)-'Tax Tables'!$B$27,0),'Tax Tables'!$B$29)*'Tax Tables'!$B$30,MIN(MAX(H471,0),'Tax Tables'!$B$23)*'Tax Tables'!$B$24+MIN(MAX(MAX(H471,0)-'Tax Tables'!$B$23,0),'Tax Tables'!$B$25)*'Tax Tables'!$B$26))*Calculator!$B$11,Calculator!$B$12)</f>
        <v>14110</v>
      </c>
      <c r="J471" s="11" t="n">
        <f aca="false">MAX(H471,0)-I471</f>
        <v>156890</v>
      </c>
      <c r="K471" s="11" t="n">
        <f aca="false">MIN(IF(A471&gt;0,Calculator!$B$13,0)+E471+Calculator!$B$14,'Tax Tables'!$B$36)</f>
        <v>1000</v>
      </c>
      <c r="L471" s="11" t="n">
        <f aca="false">MAX(A471-K471,0)</f>
        <v>228000</v>
      </c>
      <c r="M471" s="11" t="n">
        <f aca="false">SUMPRODUCT((L471&gt;'Tax Tables'!$A$5:$A$17)*(L471-'Tax Tables'!$A$5:$A$17)*'Tax Tables'!$C$5:$C$17)</f>
        <v>26470</v>
      </c>
      <c r="N471" s="11" t="n">
        <f aca="false">IF(H471&lt;0,-1E+099,A471-E471-M471+J471+(E471+F471)*Calculator!$B$9)</f>
        <v>359420</v>
      </c>
      <c r="O471" s="2"/>
      <c r="P471" s="11" t="n">
        <f aca="false">458*$B$3</f>
        <v>229000</v>
      </c>
      <c r="Q471" s="11" t="n">
        <f aca="false">MIN(P471,'Tax Tables'!$B$31*'Tax Tables'!$B$32)</f>
        <v>96000</v>
      </c>
      <c r="R471" s="11" t="n">
        <f aca="false">P471-Q471</f>
        <v>133000</v>
      </c>
      <c r="S471" s="11" t="n">
        <f aca="false">IF(Calculator!$B$6="Yes",MIN(Q471,'Tax Tables'!$B$31*'Tax Tables'!$B$32),0)</f>
        <v>96000</v>
      </c>
      <c r="T471" s="11" t="n">
        <f aca="false">S471*Calculator!$B$7</f>
        <v>19200</v>
      </c>
      <c r="U471" s="11" t="n">
        <f aca="false">S471*Calculator!$B$8</f>
        <v>16320</v>
      </c>
      <c r="V471" s="11" t="n">
        <f aca="false">IF(Q471&gt;0,'Tax Tables'!$B$32*MIN(MAX(Q471/'Tax Tables'!$B$32*'Tax Tables'!$B$33,'Tax Tables'!$B$34),'Tax Tables'!$B$35),0)</f>
        <v>135</v>
      </c>
      <c r="W471" s="11" t="n">
        <f aca="false">Calculator!$B$5-P471-U471-V471</f>
        <v>154545</v>
      </c>
      <c r="X471" s="11" t="n">
        <f aca="false">'Tax Tables'!$B$22*(MAX(W471,0)-IF(Calculator!$B$10="Yes",MIN(MAX(W471,0),'Tax Tables'!$B$27)*'Tax Tables'!$B$28+MIN(MAX(MAX(W471,0)-'Tax Tables'!$B$27,0),'Tax Tables'!$B$29)*'Tax Tables'!$B$30,MIN(MAX(W471,0),'Tax Tables'!$B$23)*'Tax Tables'!$B$24+MIN(MAX(MAX(W471,0)-'Tax Tables'!$B$23,0),'Tax Tables'!$B$25)*'Tax Tables'!$B$26))*1-MIN('Tax Tables'!$B$22*(MAX(W471,0)-IF(Calculator!$B$10="Yes",MIN(MAX(W471,0),'Tax Tables'!$B$27)*'Tax Tables'!$B$28+MIN(MAX(MAX(W471,0)-'Tax Tables'!$B$27,0),'Tax Tables'!$B$29)*'Tax Tables'!$B$30,MIN(MAX(W471,0),'Tax Tables'!$B$23)*'Tax Tables'!$B$24+MIN(MAX(MAX(W471,0)-'Tax Tables'!$B$23,0),'Tax Tables'!$B$25)*'Tax Tables'!$B$26))*Calculator!$B$11,Calculator!$B$12)</f>
        <v>12711.325</v>
      </c>
      <c r="Y471" s="11" t="n">
        <f aca="false">MAX(W471,0)-X471</f>
        <v>141833.675</v>
      </c>
      <c r="Z471" s="11" t="n">
        <f aca="false">MIN(IF(P471&gt;0,Calculator!$B$13,0)+T471+Calculator!$B$14,'Tax Tables'!$B$36)</f>
        <v>20200</v>
      </c>
      <c r="AA471" s="11" t="n">
        <f aca="false">MAX(P471-Z471,0)</f>
        <v>208800</v>
      </c>
      <c r="AB471" s="11" t="n">
        <f aca="false">SUMPRODUCT((AA471&gt;'Tax Tables'!$A$5:$A$17)*(AA471-'Tax Tables'!$A$5:$A$17)*'Tax Tables'!$C$5:$C$17)</f>
        <v>22822</v>
      </c>
      <c r="AC471" s="11" t="n">
        <f aca="false">IF(W471&lt;0,-1E+099,P471-T471-AB471+Y471+(T471+U471)*Calculator!$B$9)</f>
        <v>364331.675</v>
      </c>
    </row>
    <row r="472" customFormat="false" ht="15" hidden="false" customHeight="false" outlineLevel="0" collapsed="false">
      <c r="A472" s="11" t="n">
        <f aca="false">459*$B$3</f>
        <v>229500</v>
      </c>
      <c r="B472" s="11" t="n">
        <f aca="false">0</f>
        <v>0</v>
      </c>
      <c r="C472" s="11" t="n">
        <f aca="false">A472-B472</f>
        <v>229500</v>
      </c>
      <c r="D472" s="11" t="n">
        <f aca="false">IF(Calculator!$B$6="Yes",MIN(B472,'Tax Tables'!$B$31*'Tax Tables'!$B$32),0)</f>
        <v>0</v>
      </c>
      <c r="E472" s="11" t="n">
        <f aca="false">D472*Calculator!$B$7</f>
        <v>0</v>
      </c>
      <c r="F472" s="11" t="n">
        <f aca="false">D472*Calculator!$B$8</f>
        <v>0</v>
      </c>
      <c r="G472" s="11" t="n">
        <f aca="false">IF(B472&gt;0,'Tax Tables'!$B$32*MIN(MAX(B472/'Tax Tables'!$B$32*'Tax Tables'!$B$33,'Tax Tables'!$B$34),'Tax Tables'!$B$35),0)</f>
        <v>0</v>
      </c>
      <c r="H472" s="11" t="n">
        <f aca="false">Calculator!$B$5-A472-F472-G472</f>
        <v>170500</v>
      </c>
      <c r="I472" s="11" t="n">
        <f aca="false">'Tax Tables'!$B$22*(MAX(H472,0)-IF(Calculator!$B$10="Yes",MIN(MAX(H472,0),'Tax Tables'!$B$27)*'Tax Tables'!$B$28+MIN(MAX(MAX(H472,0)-'Tax Tables'!$B$27,0),'Tax Tables'!$B$29)*'Tax Tables'!$B$30,MIN(MAX(H472,0),'Tax Tables'!$B$23)*'Tax Tables'!$B$24+MIN(MAX(MAX(H472,0)-'Tax Tables'!$B$23,0),'Tax Tables'!$B$25)*'Tax Tables'!$B$26))*1-MIN('Tax Tables'!$B$22*(MAX(H472,0)-IF(Calculator!$B$10="Yes",MIN(MAX(H472,0),'Tax Tables'!$B$27)*'Tax Tables'!$B$28+MIN(MAX(MAX(H472,0)-'Tax Tables'!$B$27,0),'Tax Tables'!$B$29)*'Tax Tables'!$B$30,MIN(MAX(H472,0),'Tax Tables'!$B$23)*'Tax Tables'!$B$24+MIN(MAX(MAX(H472,0)-'Tax Tables'!$B$23,0),'Tax Tables'!$B$25)*'Tax Tables'!$B$26))*Calculator!$B$11,Calculator!$B$12)</f>
        <v>14067.5</v>
      </c>
      <c r="J472" s="11" t="n">
        <f aca="false">MAX(H472,0)-I472</f>
        <v>156432.5</v>
      </c>
      <c r="K472" s="11" t="n">
        <f aca="false">MIN(IF(A472&gt;0,Calculator!$B$13,0)+E472+Calculator!$B$14,'Tax Tables'!$B$36)</f>
        <v>1000</v>
      </c>
      <c r="L472" s="11" t="n">
        <f aca="false">MAX(A472-K472,0)</f>
        <v>228500</v>
      </c>
      <c r="M472" s="11" t="n">
        <f aca="false">SUMPRODUCT((L472&gt;'Tax Tables'!$A$5:$A$17)*(L472-'Tax Tables'!$A$5:$A$17)*'Tax Tables'!$C$5:$C$17)</f>
        <v>26565</v>
      </c>
      <c r="N472" s="11" t="n">
        <f aca="false">IF(H472&lt;0,-1E+099,A472-E472-M472+J472+(E472+F472)*Calculator!$B$9)</f>
        <v>359367.5</v>
      </c>
      <c r="O472" s="2"/>
      <c r="P472" s="11" t="n">
        <f aca="false">459*$B$3</f>
        <v>229500</v>
      </c>
      <c r="Q472" s="11" t="n">
        <f aca="false">MIN(P472,'Tax Tables'!$B$31*'Tax Tables'!$B$32)</f>
        <v>96000</v>
      </c>
      <c r="R472" s="11" t="n">
        <f aca="false">P472-Q472</f>
        <v>133500</v>
      </c>
      <c r="S472" s="11" t="n">
        <f aca="false">IF(Calculator!$B$6="Yes",MIN(Q472,'Tax Tables'!$B$31*'Tax Tables'!$B$32),0)</f>
        <v>96000</v>
      </c>
      <c r="T472" s="11" t="n">
        <f aca="false">S472*Calculator!$B$7</f>
        <v>19200</v>
      </c>
      <c r="U472" s="11" t="n">
        <f aca="false">S472*Calculator!$B$8</f>
        <v>16320</v>
      </c>
      <c r="V472" s="11" t="n">
        <f aca="false">IF(Q472&gt;0,'Tax Tables'!$B$32*MIN(MAX(Q472/'Tax Tables'!$B$32*'Tax Tables'!$B$33,'Tax Tables'!$B$34),'Tax Tables'!$B$35),0)</f>
        <v>135</v>
      </c>
      <c r="W472" s="11" t="n">
        <f aca="false">Calculator!$B$5-P472-U472-V472</f>
        <v>154045</v>
      </c>
      <c r="X472" s="11" t="n">
        <f aca="false">'Tax Tables'!$B$22*(MAX(W472,0)-IF(Calculator!$B$10="Yes",MIN(MAX(W472,0),'Tax Tables'!$B$27)*'Tax Tables'!$B$28+MIN(MAX(MAX(W472,0)-'Tax Tables'!$B$27,0),'Tax Tables'!$B$29)*'Tax Tables'!$B$30,MIN(MAX(W472,0),'Tax Tables'!$B$23)*'Tax Tables'!$B$24+MIN(MAX(MAX(W472,0)-'Tax Tables'!$B$23,0),'Tax Tables'!$B$25)*'Tax Tables'!$B$26))*1-MIN('Tax Tables'!$B$22*(MAX(W472,0)-IF(Calculator!$B$10="Yes",MIN(MAX(W472,0),'Tax Tables'!$B$27)*'Tax Tables'!$B$28+MIN(MAX(MAX(W472,0)-'Tax Tables'!$B$27,0),'Tax Tables'!$B$29)*'Tax Tables'!$B$30,MIN(MAX(W472,0),'Tax Tables'!$B$23)*'Tax Tables'!$B$24+MIN(MAX(MAX(W472,0)-'Tax Tables'!$B$23,0),'Tax Tables'!$B$25)*'Tax Tables'!$B$26))*Calculator!$B$11,Calculator!$B$12)</f>
        <v>12668.825</v>
      </c>
      <c r="Y472" s="11" t="n">
        <f aca="false">MAX(W472,0)-X472</f>
        <v>141376.175</v>
      </c>
      <c r="Z472" s="11" t="n">
        <f aca="false">MIN(IF(P472&gt;0,Calculator!$B$13,0)+T472+Calculator!$B$14,'Tax Tables'!$B$36)</f>
        <v>20200</v>
      </c>
      <c r="AA472" s="11" t="n">
        <f aca="false">MAX(P472-Z472,0)</f>
        <v>209300</v>
      </c>
      <c r="AB472" s="11" t="n">
        <f aca="false">SUMPRODUCT((AA472&gt;'Tax Tables'!$A$5:$A$17)*(AA472-'Tax Tables'!$A$5:$A$17)*'Tax Tables'!$C$5:$C$17)</f>
        <v>22917</v>
      </c>
      <c r="AC472" s="11" t="n">
        <f aca="false">IF(W472&lt;0,-1E+099,P472-T472-AB472+Y472+(T472+U472)*Calculator!$B$9)</f>
        <v>364279.175</v>
      </c>
    </row>
    <row r="473" customFormat="false" ht="15" hidden="false" customHeight="false" outlineLevel="0" collapsed="false">
      <c r="A473" s="11" t="n">
        <f aca="false">460*$B$3</f>
        <v>230000</v>
      </c>
      <c r="B473" s="11" t="n">
        <f aca="false">0</f>
        <v>0</v>
      </c>
      <c r="C473" s="11" t="n">
        <f aca="false">A473-B473</f>
        <v>230000</v>
      </c>
      <c r="D473" s="11" t="n">
        <f aca="false">IF(Calculator!$B$6="Yes",MIN(B473,'Tax Tables'!$B$31*'Tax Tables'!$B$32),0)</f>
        <v>0</v>
      </c>
      <c r="E473" s="11" t="n">
        <f aca="false">D473*Calculator!$B$7</f>
        <v>0</v>
      </c>
      <c r="F473" s="11" t="n">
        <f aca="false">D473*Calculator!$B$8</f>
        <v>0</v>
      </c>
      <c r="G473" s="11" t="n">
        <f aca="false">IF(B473&gt;0,'Tax Tables'!$B$32*MIN(MAX(B473/'Tax Tables'!$B$32*'Tax Tables'!$B$33,'Tax Tables'!$B$34),'Tax Tables'!$B$35),0)</f>
        <v>0</v>
      </c>
      <c r="H473" s="11" t="n">
        <f aca="false">Calculator!$B$5-A473-F473-G473</f>
        <v>170000</v>
      </c>
      <c r="I473" s="11" t="n">
        <f aca="false">'Tax Tables'!$B$22*(MAX(H473,0)-IF(Calculator!$B$10="Yes",MIN(MAX(H473,0),'Tax Tables'!$B$27)*'Tax Tables'!$B$28+MIN(MAX(MAX(H473,0)-'Tax Tables'!$B$27,0),'Tax Tables'!$B$29)*'Tax Tables'!$B$30,MIN(MAX(H473,0),'Tax Tables'!$B$23)*'Tax Tables'!$B$24+MIN(MAX(MAX(H473,0)-'Tax Tables'!$B$23,0),'Tax Tables'!$B$25)*'Tax Tables'!$B$26))*1-MIN('Tax Tables'!$B$22*(MAX(H473,0)-IF(Calculator!$B$10="Yes",MIN(MAX(H473,0),'Tax Tables'!$B$27)*'Tax Tables'!$B$28+MIN(MAX(MAX(H473,0)-'Tax Tables'!$B$27,0),'Tax Tables'!$B$29)*'Tax Tables'!$B$30,MIN(MAX(H473,0),'Tax Tables'!$B$23)*'Tax Tables'!$B$24+MIN(MAX(MAX(H473,0)-'Tax Tables'!$B$23,0),'Tax Tables'!$B$25)*'Tax Tables'!$B$26))*Calculator!$B$11,Calculator!$B$12)</f>
        <v>14025</v>
      </c>
      <c r="J473" s="11" t="n">
        <f aca="false">MAX(H473,0)-I473</f>
        <v>155975</v>
      </c>
      <c r="K473" s="11" t="n">
        <f aca="false">MIN(IF(A473&gt;0,Calculator!$B$13,0)+E473+Calculator!$B$14,'Tax Tables'!$B$36)</f>
        <v>1000</v>
      </c>
      <c r="L473" s="11" t="n">
        <f aca="false">MAX(A473-K473,0)</f>
        <v>229000</v>
      </c>
      <c r="M473" s="11" t="n">
        <f aca="false">SUMPRODUCT((L473&gt;'Tax Tables'!$A$5:$A$17)*(L473-'Tax Tables'!$A$5:$A$17)*'Tax Tables'!$C$5:$C$17)</f>
        <v>26660</v>
      </c>
      <c r="N473" s="11" t="n">
        <f aca="false">IF(H473&lt;0,-1E+099,A473-E473-M473+J473+(E473+F473)*Calculator!$B$9)</f>
        <v>359315</v>
      </c>
      <c r="O473" s="2"/>
      <c r="P473" s="11" t="n">
        <f aca="false">460*$B$3</f>
        <v>230000</v>
      </c>
      <c r="Q473" s="11" t="n">
        <f aca="false">MIN(P473,'Tax Tables'!$B$31*'Tax Tables'!$B$32)</f>
        <v>96000</v>
      </c>
      <c r="R473" s="11" t="n">
        <f aca="false">P473-Q473</f>
        <v>134000</v>
      </c>
      <c r="S473" s="11" t="n">
        <f aca="false">IF(Calculator!$B$6="Yes",MIN(Q473,'Tax Tables'!$B$31*'Tax Tables'!$B$32),0)</f>
        <v>96000</v>
      </c>
      <c r="T473" s="11" t="n">
        <f aca="false">S473*Calculator!$B$7</f>
        <v>19200</v>
      </c>
      <c r="U473" s="11" t="n">
        <f aca="false">S473*Calculator!$B$8</f>
        <v>16320</v>
      </c>
      <c r="V473" s="11" t="n">
        <f aca="false">IF(Q473&gt;0,'Tax Tables'!$B$32*MIN(MAX(Q473/'Tax Tables'!$B$32*'Tax Tables'!$B$33,'Tax Tables'!$B$34),'Tax Tables'!$B$35),0)</f>
        <v>135</v>
      </c>
      <c r="W473" s="11" t="n">
        <f aca="false">Calculator!$B$5-P473-U473-V473</f>
        <v>153545</v>
      </c>
      <c r="X473" s="11" t="n">
        <f aca="false">'Tax Tables'!$B$22*(MAX(W473,0)-IF(Calculator!$B$10="Yes",MIN(MAX(W473,0),'Tax Tables'!$B$27)*'Tax Tables'!$B$28+MIN(MAX(MAX(W473,0)-'Tax Tables'!$B$27,0),'Tax Tables'!$B$29)*'Tax Tables'!$B$30,MIN(MAX(W473,0),'Tax Tables'!$B$23)*'Tax Tables'!$B$24+MIN(MAX(MAX(W473,0)-'Tax Tables'!$B$23,0),'Tax Tables'!$B$25)*'Tax Tables'!$B$26))*1-MIN('Tax Tables'!$B$22*(MAX(W473,0)-IF(Calculator!$B$10="Yes",MIN(MAX(W473,0),'Tax Tables'!$B$27)*'Tax Tables'!$B$28+MIN(MAX(MAX(W473,0)-'Tax Tables'!$B$27,0),'Tax Tables'!$B$29)*'Tax Tables'!$B$30,MIN(MAX(W473,0),'Tax Tables'!$B$23)*'Tax Tables'!$B$24+MIN(MAX(MAX(W473,0)-'Tax Tables'!$B$23,0),'Tax Tables'!$B$25)*'Tax Tables'!$B$26))*Calculator!$B$11,Calculator!$B$12)</f>
        <v>12626.325</v>
      </c>
      <c r="Y473" s="11" t="n">
        <f aca="false">MAX(W473,0)-X473</f>
        <v>140918.675</v>
      </c>
      <c r="Z473" s="11" t="n">
        <f aca="false">MIN(IF(P473&gt;0,Calculator!$B$13,0)+T473+Calculator!$B$14,'Tax Tables'!$B$36)</f>
        <v>20200</v>
      </c>
      <c r="AA473" s="11" t="n">
        <f aca="false">MAX(P473-Z473,0)</f>
        <v>209800</v>
      </c>
      <c r="AB473" s="11" t="n">
        <f aca="false">SUMPRODUCT((AA473&gt;'Tax Tables'!$A$5:$A$17)*(AA473-'Tax Tables'!$A$5:$A$17)*'Tax Tables'!$C$5:$C$17)</f>
        <v>23012</v>
      </c>
      <c r="AC473" s="11" t="n">
        <f aca="false">IF(W473&lt;0,-1E+099,P473-T473-AB473+Y473+(T473+U473)*Calculator!$B$9)</f>
        <v>364226.675</v>
      </c>
    </row>
    <row r="474" customFormat="false" ht="15" hidden="false" customHeight="false" outlineLevel="0" collapsed="false">
      <c r="A474" s="11" t="n">
        <f aca="false">461*$B$3</f>
        <v>230500</v>
      </c>
      <c r="B474" s="11" t="n">
        <f aca="false">0</f>
        <v>0</v>
      </c>
      <c r="C474" s="11" t="n">
        <f aca="false">A474-B474</f>
        <v>230500</v>
      </c>
      <c r="D474" s="11" t="n">
        <f aca="false">IF(Calculator!$B$6="Yes",MIN(B474,'Tax Tables'!$B$31*'Tax Tables'!$B$32),0)</f>
        <v>0</v>
      </c>
      <c r="E474" s="11" t="n">
        <f aca="false">D474*Calculator!$B$7</f>
        <v>0</v>
      </c>
      <c r="F474" s="11" t="n">
        <f aca="false">D474*Calculator!$B$8</f>
        <v>0</v>
      </c>
      <c r="G474" s="11" t="n">
        <f aca="false">IF(B474&gt;0,'Tax Tables'!$B$32*MIN(MAX(B474/'Tax Tables'!$B$32*'Tax Tables'!$B$33,'Tax Tables'!$B$34),'Tax Tables'!$B$35),0)</f>
        <v>0</v>
      </c>
      <c r="H474" s="11" t="n">
        <f aca="false">Calculator!$B$5-A474-F474-G474</f>
        <v>169500</v>
      </c>
      <c r="I474" s="11" t="n">
        <f aca="false">'Tax Tables'!$B$22*(MAX(H474,0)-IF(Calculator!$B$10="Yes",MIN(MAX(H474,0),'Tax Tables'!$B$27)*'Tax Tables'!$B$28+MIN(MAX(MAX(H474,0)-'Tax Tables'!$B$27,0),'Tax Tables'!$B$29)*'Tax Tables'!$B$30,MIN(MAX(H474,0),'Tax Tables'!$B$23)*'Tax Tables'!$B$24+MIN(MAX(MAX(H474,0)-'Tax Tables'!$B$23,0),'Tax Tables'!$B$25)*'Tax Tables'!$B$26))*1-MIN('Tax Tables'!$B$22*(MAX(H474,0)-IF(Calculator!$B$10="Yes",MIN(MAX(H474,0),'Tax Tables'!$B$27)*'Tax Tables'!$B$28+MIN(MAX(MAX(H474,0)-'Tax Tables'!$B$27,0),'Tax Tables'!$B$29)*'Tax Tables'!$B$30,MIN(MAX(H474,0),'Tax Tables'!$B$23)*'Tax Tables'!$B$24+MIN(MAX(MAX(H474,0)-'Tax Tables'!$B$23,0),'Tax Tables'!$B$25)*'Tax Tables'!$B$26))*Calculator!$B$11,Calculator!$B$12)</f>
        <v>13982.5</v>
      </c>
      <c r="J474" s="11" t="n">
        <f aca="false">MAX(H474,0)-I474</f>
        <v>155517.5</v>
      </c>
      <c r="K474" s="11" t="n">
        <f aca="false">MIN(IF(A474&gt;0,Calculator!$B$13,0)+E474+Calculator!$B$14,'Tax Tables'!$B$36)</f>
        <v>1000</v>
      </c>
      <c r="L474" s="11" t="n">
        <f aca="false">MAX(A474-K474,0)</f>
        <v>229500</v>
      </c>
      <c r="M474" s="11" t="n">
        <f aca="false">SUMPRODUCT((L474&gt;'Tax Tables'!$A$5:$A$17)*(L474-'Tax Tables'!$A$5:$A$17)*'Tax Tables'!$C$5:$C$17)</f>
        <v>26755</v>
      </c>
      <c r="N474" s="11" t="n">
        <f aca="false">IF(H474&lt;0,-1E+099,A474-E474-M474+J474+(E474+F474)*Calculator!$B$9)</f>
        <v>359262.5</v>
      </c>
      <c r="O474" s="2"/>
      <c r="P474" s="11" t="n">
        <f aca="false">461*$B$3</f>
        <v>230500</v>
      </c>
      <c r="Q474" s="11" t="n">
        <f aca="false">MIN(P474,'Tax Tables'!$B$31*'Tax Tables'!$B$32)</f>
        <v>96000</v>
      </c>
      <c r="R474" s="11" t="n">
        <f aca="false">P474-Q474</f>
        <v>134500</v>
      </c>
      <c r="S474" s="11" t="n">
        <f aca="false">IF(Calculator!$B$6="Yes",MIN(Q474,'Tax Tables'!$B$31*'Tax Tables'!$B$32),0)</f>
        <v>96000</v>
      </c>
      <c r="T474" s="11" t="n">
        <f aca="false">S474*Calculator!$B$7</f>
        <v>19200</v>
      </c>
      <c r="U474" s="11" t="n">
        <f aca="false">S474*Calculator!$B$8</f>
        <v>16320</v>
      </c>
      <c r="V474" s="11" t="n">
        <f aca="false">IF(Q474&gt;0,'Tax Tables'!$B$32*MIN(MAX(Q474/'Tax Tables'!$B$32*'Tax Tables'!$B$33,'Tax Tables'!$B$34),'Tax Tables'!$B$35),0)</f>
        <v>135</v>
      </c>
      <c r="W474" s="11" t="n">
        <f aca="false">Calculator!$B$5-P474-U474-V474</f>
        <v>153045</v>
      </c>
      <c r="X474" s="11" t="n">
        <f aca="false">'Tax Tables'!$B$22*(MAX(W474,0)-IF(Calculator!$B$10="Yes",MIN(MAX(W474,0),'Tax Tables'!$B$27)*'Tax Tables'!$B$28+MIN(MAX(MAX(W474,0)-'Tax Tables'!$B$27,0),'Tax Tables'!$B$29)*'Tax Tables'!$B$30,MIN(MAX(W474,0),'Tax Tables'!$B$23)*'Tax Tables'!$B$24+MIN(MAX(MAX(W474,0)-'Tax Tables'!$B$23,0),'Tax Tables'!$B$25)*'Tax Tables'!$B$26))*1-MIN('Tax Tables'!$B$22*(MAX(W474,0)-IF(Calculator!$B$10="Yes",MIN(MAX(W474,0),'Tax Tables'!$B$27)*'Tax Tables'!$B$28+MIN(MAX(MAX(W474,0)-'Tax Tables'!$B$27,0),'Tax Tables'!$B$29)*'Tax Tables'!$B$30,MIN(MAX(W474,0),'Tax Tables'!$B$23)*'Tax Tables'!$B$24+MIN(MAX(MAX(W474,0)-'Tax Tables'!$B$23,0),'Tax Tables'!$B$25)*'Tax Tables'!$B$26))*Calculator!$B$11,Calculator!$B$12)</f>
        <v>12583.825</v>
      </c>
      <c r="Y474" s="11" t="n">
        <f aca="false">MAX(W474,0)-X474</f>
        <v>140461.175</v>
      </c>
      <c r="Z474" s="11" t="n">
        <f aca="false">MIN(IF(P474&gt;0,Calculator!$B$13,0)+T474+Calculator!$B$14,'Tax Tables'!$B$36)</f>
        <v>20200</v>
      </c>
      <c r="AA474" s="11" t="n">
        <f aca="false">MAX(P474-Z474,0)</f>
        <v>210300</v>
      </c>
      <c r="AB474" s="11" t="n">
        <f aca="false">SUMPRODUCT((AA474&gt;'Tax Tables'!$A$5:$A$17)*(AA474-'Tax Tables'!$A$5:$A$17)*'Tax Tables'!$C$5:$C$17)</f>
        <v>23107</v>
      </c>
      <c r="AC474" s="11" t="n">
        <f aca="false">IF(W474&lt;0,-1E+099,P474-T474-AB474+Y474+(T474+U474)*Calculator!$B$9)</f>
        <v>364174.175</v>
      </c>
    </row>
    <row r="475" customFormat="false" ht="15" hidden="false" customHeight="false" outlineLevel="0" collapsed="false">
      <c r="A475" s="11" t="n">
        <f aca="false">462*$B$3</f>
        <v>231000</v>
      </c>
      <c r="B475" s="11" t="n">
        <f aca="false">0</f>
        <v>0</v>
      </c>
      <c r="C475" s="11" t="n">
        <f aca="false">A475-B475</f>
        <v>231000</v>
      </c>
      <c r="D475" s="11" t="n">
        <f aca="false">IF(Calculator!$B$6="Yes",MIN(B475,'Tax Tables'!$B$31*'Tax Tables'!$B$32),0)</f>
        <v>0</v>
      </c>
      <c r="E475" s="11" t="n">
        <f aca="false">D475*Calculator!$B$7</f>
        <v>0</v>
      </c>
      <c r="F475" s="11" t="n">
        <f aca="false">D475*Calculator!$B$8</f>
        <v>0</v>
      </c>
      <c r="G475" s="11" t="n">
        <f aca="false">IF(B475&gt;0,'Tax Tables'!$B$32*MIN(MAX(B475/'Tax Tables'!$B$32*'Tax Tables'!$B$33,'Tax Tables'!$B$34),'Tax Tables'!$B$35),0)</f>
        <v>0</v>
      </c>
      <c r="H475" s="11" t="n">
        <f aca="false">Calculator!$B$5-A475-F475-G475</f>
        <v>169000</v>
      </c>
      <c r="I475" s="11" t="n">
        <f aca="false">'Tax Tables'!$B$22*(MAX(H475,0)-IF(Calculator!$B$10="Yes",MIN(MAX(H475,0),'Tax Tables'!$B$27)*'Tax Tables'!$B$28+MIN(MAX(MAX(H475,0)-'Tax Tables'!$B$27,0),'Tax Tables'!$B$29)*'Tax Tables'!$B$30,MIN(MAX(H475,0),'Tax Tables'!$B$23)*'Tax Tables'!$B$24+MIN(MAX(MAX(H475,0)-'Tax Tables'!$B$23,0),'Tax Tables'!$B$25)*'Tax Tables'!$B$26))*1-MIN('Tax Tables'!$B$22*(MAX(H475,0)-IF(Calculator!$B$10="Yes",MIN(MAX(H475,0),'Tax Tables'!$B$27)*'Tax Tables'!$B$28+MIN(MAX(MAX(H475,0)-'Tax Tables'!$B$27,0),'Tax Tables'!$B$29)*'Tax Tables'!$B$30,MIN(MAX(H475,0),'Tax Tables'!$B$23)*'Tax Tables'!$B$24+MIN(MAX(MAX(H475,0)-'Tax Tables'!$B$23,0),'Tax Tables'!$B$25)*'Tax Tables'!$B$26))*Calculator!$B$11,Calculator!$B$12)</f>
        <v>13940</v>
      </c>
      <c r="J475" s="11" t="n">
        <f aca="false">MAX(H475,0)-I475</f>
        <v>155060</v>
      </c>
      <c r="K475" s="11" t="n">
        <f aca="false">MIN(IF(A475&gt;0,Calculator!$B$13,0)+E475+Calculator!$B$14,'Tax Tables'!$B$36)</f>
        <v>1000</v>
      </c>
      <c r="L475" s="11" t="n">
        <f aca="false">MAX(A475-K475,0)</f>
        <v>230000</v>
      </c>
      <c r="M475" s="11" t="n">
        <f aca="false">SUMPRODUCT((L475&gt;'Tax Tables'!$A$5:$A$17)*(L475-'Tax Tables'!$A$5:$A$17)*'Tax Tables'!$C$5:$C$17)</f>
        <v>26850</v>
      </c>
      <c r="N475" s="11" t="n">
        <f aca="false">IF(H475&lt;0,-1E+099,A475-E475-M475+J475+(E475+F475)*Calculator!$B$9)</f>
        <v>359210</v>
      </c>
      <c r="O475" s="2"/>
      <c r="P475" s="11" t="n">
        <f aca="false">462*$B$3</f>
        <v>231000</v>
      </c>
      <c r="Q475" s="11" t="n">
        <f aca="false">MIN(P475,'Tax Tables'!$B$31*'Tax Tables'!$B$32)</f>
        <v>96000</v>
      </c>
      <c r="R475" s="11" t="n">
        <f aca="false">P475-Q475</f>
        <v>135000</v>
      </c>
      <c r="S475" s="11" t="n">
        <f aca="false">IF(Calculator!$B$6="Yes",MIN(Q475,'Tax Tables'!$B$31*'Tax Tables'!$B$32),0)</f>
        <v>96000</v>
      </c>
      <c r="T475" s="11" t="n">
        <f aca="false">S475*Calculator!$B$7</f>
        <v>19200</v>
      </c>
      <c r="U475" s="11" t="n">
        <f aca="false">S475*Calculator!$B$8</f>
        <v>16320</v>
      </c>
      <c r="V475" s="11" t="n">
        <f aca="false">IF(Q475&gt;0,'Tax Tables'!$B$32*MIN(MAX(Q475/'Tax Tables'!$B$32*'Tax Tables'!$B$33,'Tax Tables'!$B$34),'Tax Tables'!$B$35),0)</f>
        <v>135</v>
      </c>
      <c r="W475" s="11" t="n">
        <f aca="false">Calculator!$B$5-P475-U475-V475</f>
        <v>152545</v>
      </c>
      <c r="X475" s="11" t="n">
        <f aca="false">'Tax Tables'!$B$22*(MAX(W475,0)-IF(Calculator!$B$10="Yes",MIN(MAX(W475,0),'Tax Tables'!$B$27)*'Tax Tables'!$B$28+MIN(MAX(MAX(W475,0)-'Tax Tables'!$B$27,0),'Tax Tables'!$B$29)*'Tax Tables'!$B$30,MIN(MAX(W475,0),'Tax Tables'!$B$23)*'Tax Tables'!$B$24+MIN(MAX(MAX(W475,0)-'Tax Tables'!$B$23,0),'Tax Tables'!$B$25)*'Tax Tables'!$B$26))*1-MIN('Tax Tables'!$B$22*(MAX(W475,0)-IF(Calculator!$B$10="Yes",MIN(MAX(W475,0),'Tax Tables'!$B$27)*'Tax Tables'!$B$28+MIN(MAX(MAX(W475,0)-'Tax Tables'!$B$27,0),'Tax Tables'!$B$29)*'Tax Tables'!$B$30,MIN(MAX(W475,0),'Tax Tables'!$B$23)*'Tax Tables'!$B$24+MIN(MAX(MAX(W475,0)-'Tax Tables'!$B$23,0),'Tax Tables'!$B$25)*'Tax Tables'!$B$26))*Calculator!$B$11,Calculator!$B$12)</f>
        <v>12541.325</v>
      </c>
      <c r="Y475" s="11" t="n">
        <f aca="false">MAX(W475,0)-X475</f>
        <v>140003.675</v>
      </c>
      <c r="Z475" s="11" t="n">
        <f aca="false">MIN(IF(P475&gt;0,Calculator!$B$13,0)+T475+Calculator!$B$14,'Tax Tables'!$B$36)</f>
        <v>20200</v>
      </c>
      <c r="AA475" s="11" t="n">
        <f aca="false">MAX(P475-Z475,0)</f>
        <v>210800</v>
      </c>
      <c r="AB475" s="11" t="n">
        <f aca="false">SUMPRODUCT((AA475&gt;'Tax Tables'!$A$5:$A$17)*(AA475-'Tax Tables'!$A$5:$A$17)*'Tax Tables'!$C$5:$C$17)</f>
        <v>23202</v>
      </c>
      <c r="AC475" s="11" t="n">
        <f aca="false">IF(W475&lt;0,-1E+099,P475-T475-AB475+Y475+(T475+U475)*Calculator!$B$9)</f>
        <v>364121.675</v>
      </c>
    </row>
    <row r="476" customFormat="false" ht="15" hidden="false" customHeight="false" outlineLevel="0" collapsed="false">
      <c r="A476" s="11" t="n">
        <f aca="false">463*$B$3</f>
        <v>231500</v>
      </c>
      <c r="B476" s="11" t="n">
        <f aca="false">0</f>
        <v>0</v>
      </c>
      <c r="C476" s="11" t="n">
        <f aca="false">A476-B476</f>
        <v>231500</v>
      </c>
      <c r="D476" s="11" t="n">
        <f aca="false">IF(Calculator!$B$6="Yes",MIN(B476,'Tax Tables'!$B$31*'Tax Tables'!$B$32),0)</f>
        <v>0</v>
      </c>
      <c r="E476" s="11" t="n">
        <f aca="false">D476*Calculator!$B$7</f>
        <v>0</v>
      </c>
      <c r="F476" s="11" t="n">
        <f aca="false">D476*Calculator!$B$8</f>
        <v>0</v>
      </c>
      <c r="G476" s="11" t="n">
        <f aca="false">IF(B476&gt;0,'Tax Tables'!$B$32*MIN(MAX(B476/'Tax Tables'!$B$32*'Tax Tables'!$B$33,'Tax Tables'!$B$34),'Tax Tables'!$B$35),0)</f>
        <v>0</v>
      </c>
      <c r="H476" s="11" t="n">
        <f aca="false">Calculator!$B$5-A476-F476-G476</f>
        <v>168500</v>
      </c>
      <c r="I476" s="11" t="n">
        <f aca="false">'Tax Tables'!$B$22*(MAX(H476,0)-IF(Calculator!$B$10="Yes",MIN(MAX(H476,0),'Tax Tables'!$B$27)*'Tax Tables'!$B$28+MIN(MAX(MAX(H476,0)-'Tax Tables'!$B$27,0),'Tax Tables'!$B$29)*'Tax Tables'!$B$30,MIN(MAX(H476,0),'Tax Tables'!$B$23)*'Tax Tables'!$B$24+MIN(MAX(MAX(H476,0)-'Tax Tables'!$B$23,0),'Tax Tables'!$B$25)*'Tax Tables'!$B$26))*1-MIN('Tax Tables'!$B$22*(MAX(H476,0)-IF(Calculator!$B$10="Yes",MIN(MAX(H476,0),'Tax Tables'!$B$27)*'Tax Tables'!$B$28+MIN(MAX(MAX(H476,0)-'Tax Tables'!$B$27,0),'Tax Tables'!$B$29)*'Tax Tables'!$B$30,MIN(MAX(H476,0),'Tax Tables'!$B$23)*'Tax Tables'!$B$24+MIN(MAX(MAX(H476,0)-'Tax Tables'!$B$23,0),'Tax Tables'!$B$25)*'Tax Tables'!$B$26))*Calculator!$B$11,Calculator!$B$12)</f>
        <v>13897.5</v>
      </c>
      <c r="J476" s="11" t="n">
        <f aca="false">MAX(H476,0)-I476</f>
        <v>154602.5</v>
      </c>
      <c r="K476" s="11" t="n">
        <f aca="false">MIN(IF(A476&gt;0,Calculator!$B$13,0)+E476+Calculator!$B$14,'Tax Tables'!$B$36)</f>
        <v>1000</v>
      </c>
      <c r="L476" s="11" t="n">
        <f aca="false">MAX(A476-K476,0)</f>
        <v>230500</v>
      </c>
      <c r="M476" s="11" t="n">
        <f aca="false">SUMPRODUCT((L476&gt;'Tax Tables'!$A$5:$A$17)*(L476-'Tax Tables'!$A$5:$A$17)*'Tax Tables'!$C$5:$C$17)</f>
        <v>26945</v>
      </c>
      <c r="N476" s="11" t="n">
        <f aca="false">IF(H476&lt;0,-1E+099,A476-E476-M476+J476+(E476+F476)*Calculator!$B$9)</f>
        <v>359157.5</v>
      </c>
      <c r="O476" s="2"/>
      <c r="P476" s="11" t="n">
        <f aca="false">463*$B$3</f>
        <v>231500</v>
      </c>
      <c r="Q476" s="11" t="n">
        <f aca="false">MIN(P476,'Tax Tables'!$B$31*'Tax Tables'!$B$32)</f>
        <v>96000</v>
      </c>
      <c r="R476" s="11" t="n">
        <f aca="false">P476-Q476</f>
        <v>135500</v>
      </c>
      <c r="S476" s="11" t="n">
        <f aca="false">IF(Calculator!$B$6="Yes",MIN(Q476,'Tax Tables'!$B$31*'Tax Tables'!$B$32),0)</f>
        <v>96000</v>
      </c>
      <c r="T476" s="11" t="n">
        <f aca="false">S476*Calculator!$B$7</f>
        <v>19200</v>
      </c>
      <c r="U476" s="11" t="n">
        <f aca="false">S476*Calculator!$B$8</f>
        <v>16320</v>
      </c>
      <c r="V476" s="11" t="n">
        <f aca="false">IF(Q476&gt;0,'Tax Tables'!$B$32*MIN(MAX(Q476/'Tax Tables'!$B$32*'Tax Tables'!$B$33,'Tax Tables'!$B$34),'Tax Tables'!$B$35),0)</f>
        <v>135</v>
      </c>
      <c r="W476" s="11" t="n">
        <f aca="false">Calculator!$B$5-P476-U476-V476</f>
        <v>152045</v>
      </c>
      <c r="X476" s="11" t="n">
        <f aca="false">'Tax Tables'!$B$22*(MAX(W476,0)-IF(Calculator!$B$10="Yes",MIN(MAX(W476,0),'Tax Tables'!$B$27)*'Tax Tables'!$B$28+MIN(MAX(MAX(W476,0)-'Tax Tables'!$B$27,0),'Tax Tables'!$B$29)*'Tax Tables'!$B$30,MIN(MAX(W476,0),'Tax Tables'!$B$23)*'Tax Tables'!$B$24+MIN(MAX(MAX(W476,0)-'Tax Tables'!$B$23,0),'Tax Tables'!$B$25)*'Tax Tables'!$B$26))*1-MIN('Tax Tables'!$B$22*(MAX(W476,0)-IF(Calculator!$B$10="Yes",MIN(MAX(W476,0),'Tax Tables'!$B$27)*'Tax Tables'!$B$28+MIN(MAX(MAX(W476,0)-'Tax Tables'!$B$27,0),'Tax Tables'!$B$29)*'Tax Tables'!$B$30,MIN(MAX(W476,0),'Tax Tables'!$B$23)*'Tax Tables'!$B$24+MIN(MAX(MAX(W476,0)-'Tax Tables'!$B$23,0),'Tax Tables'!$B$25)*'Tax Tables'!$B$26))*Calculator!$B$11,Calculator!$B$12)</f>
        <v>12498.825</v>
      </c>
      <c r="Y476" s="11" t="n">
        <f aca="false">MAX(W476,0)-X476</f>
        <v>139546.175</v>
      </c>
      <c r="Z476" s="11" t="n">
        <f aca="false">MIN(IF(P476&gt;0,Calculator!$B$13,0)+T476+Calculator!$B$14,'Tax Tables'!$B$36)</f>
        <v>20200</v>
      </c>
      <c r="AA476" s="11" t="n">
        <f aca="false">MAX(P476-Z476,0)</f>
        <v>211300</v>
      </c>
      <c r="AB476" s="11" t="n">
        <f aca="false">SUMPRODUCT((AA476&gt;'Tax Tables'!$A$5:$A$17)*(AA476-'Tax Tables'!$A$5:$A$17)*'Tax Tables'!$C$5:$C$17)</f>
        <v>23297</v>
      </c>
      <c r="AC476" s="11" t="n">
        <f aca="false">IF(W476&lt;0,-1E+099,P476-T476-AB476+Y476+(T476+U476)*Calculator!$B$9)</f>
        <v>364069.175</v>
      </c>
    </row>
    <row r="477" customFormat="false" ht="15" hidden="false" customHeight="false" outlineLevel="0" collapsed="false">
      <c r="A477" s="11" t="n">
        <f aca="false">464*$B$3</f>
        <v>232000</v>
      </c>
      <c r="B477" s="11" t="n">
        <f aca="false">0</f>
        <v>0</v>
      </c>
      <c r="C477" s="11" t="n">
        <f aca="false">A477-B477</f>
        <v>232000</v>
      </c>
      <c r="D477" s="11" t="n">
        <f aca="false">IF(Calculator!$B$6="Yes",MIN(B477,'Tax Tables'!$B$31*'Tax Tables'!$B$32),0)</f>
        <v>0</v>
      </c>
      <c r="E477" s="11" t="n">
        <f aca="false">D477*Calculator!$B$7</f>
        <v>0</v>
      </c>
      <c r="F477" s="11" t="n">
        <f aca="false">D477*Calculator!$B$8</f>
        <v>0</v>
      </c>
      <c r="G477" s="11" t="n">
        <f aca="false">IF(B477&gt;0,'Tax Tables'!$B$32*MIN(MAX(B477/'Tax Tables'!$B$32*'Tax Tables'!$B$33,'Tax Tables'!$B$34),'Tax Tables'!$B$35),0)</f>
        <v>0</v>
      </c>
      <c r="H477" s="11" t="n">
        <f aca="false">Calculator!$B$5-A477-F477-G477</f>
        <v>168000</v>
      </c>
      <c r="I477" s="11" t="n">
        <f aca="false">'Tax Tables'!$B$22*(MAX(H477,0)-IF(Calculator!$B$10="Yes",MIN(MAX(H477,0),'Tax Tables'!$B$27)*'Tax Tables'!$B$28+MIN(MAX(MAX(H477,0)-'Tax Tables'!$B$27,0),'Tax Tables'!$B$29)*'Tax Tables'!$B$30,MIN(MAX(H477,0),'Tax Tables'!$B$23)*'Tax Tables'!$B$24+MIN(MAX(MAX(H477,0)-'Tax Tables'!$B$23,0),'Tax Tables'!$B$25)*'Tax Tables'!$B$26))*1-MIN('Tax Tables'!$B$22*(MAX(H477,0)-IF(Calculator!$B$10="Yes",MIN(MAX(H477,0),'Tax Tables'!$B$27)*'Tax Tables'!$B$28+MIN(MAX(MAX(H477,0)-'Tax Tables'!$B$27,0),'Tax Tables'!$B$29)*'Tax Tables'!$B$30,MIN(MAX(H477,0),'Tax Tables'!$B$23)*'Tax Tables'!$B$24+MIN(MAX(MAX(H477,0)-'Tax Tables'!$B$23,0),'Tax Tables'!$B$25)*'Tax Tables'!$B$26))*Calculator!$B$11,Calculator!$B$12)</f>
        <v>13855</v>
      </c>
      <c r="J477" s="11" t="n">
        <f aca="false">MAX(H477,0)-I477</f>
        <v>154145</v>
      </c>
      <c r="K477" s="11" t="n">
        <f aca="false">MIN(IF(A477&gt;0,Calculator!$B$13,0)+E477+Calculator!$B$14,'Tax Tables'!$B$36)</f>
        <v>1000</v>
      </c>
      <c r="L477" s="11" t="n">
        <f aca="false">MAX(A477-K477,0)</f>
        <v>231000</v>
      </c>
      <c r="M477" s="11" t="n">
        <f aca="false">SUMPRODUCT((L477&gt;'Tax Tables'!$A$5:$A$17)*(L477-'Tax Tables'!$A$5:$A$17)*'Tax Tables'!$C$5:$C$17)</f>
        <v>27040</v>
      </c>
      <c r="N477" s="11" t="n">
        <f aca="false">IF(H477&lt;0,-1E+099,A477-E477-M477+J477+(E477+F477)*Calculator!$B$9)</f>
        <v>359105</v>
      </c>
      <c r="O477" s="2"/>
      <c r="P477" s="11" t="n">
        <f aca="false">464*$B$3</f>
        <v>232000</v>
      </c>
      <c r="Q477" s="11" t="n">
        <f aca="false">MIN(P477,'Tax Tables'!$B$31*'Tax Tables'!$B$32)</f>
        <v>96000</v>
      </c>
      <c r="R477" s="11" t="n">
        <f aca="false">P477-Q477</f>
        <v>136000</v>
      </c>
      <c r="S477" s="11" t="n">
        <f aca="false">IF(Calculator!$B$6="Yes",MIN(Q477,'Tax Tables'!$B$31*'Tax Tables'!$B$32),0)</f>
        <v>96000</v>
      </c>
      <c r="T477" s="11" t="n">
        <f aca="false">S477*Calculator!$B$7</f>
        <v>19200</v>
      </c>
      <c r="U477" s="11" t="n">
        <f aca="false">S477*Calculator!$B$8</f>
        <v>16320</v>
      </c>
      <c r="V477" s="11" t="n">
        <f aca="false">IF(Q477&gt;0,'Tax Tables'!$B$32*MIN(MAX(Q477/'Tax Tables'!$B$32*'Tax Tables'!$B$33,'Tax Tables'!$B$34),'Tax Tables'!$B$35),0)</f>
        <v>135</v>
      </c>
      <c r="W477" s="11" t="n">
        <f aca="false">Calculator!$B$5-P477-U477-V477</f>
        <v>151545</v>
      </c>
      <c r="X477" s="11" t="n">
        <f aca="false">'Tax Tables'!$B$22*(MAX(W477,0)-IF(Calculator!$B$10="Yes",MIN(MAX(W477,0),'Tax Tables'!$B$27)*'Tax Tables'!$B$28+MIN(MAX(MAX(W477,0)-'Tax Tables'!$B$27,0),'Tax Tables'!$B$29)*'Tax Tables'!$B$30,MIN(MAX(W477,0),'Tax Tables'!$B$23)*'Tax Tables'!$B$24+MIN(MAX(MAX(W477,0)-'Tax Tables'!$B$23,0),'Tax Tables'!$B$25)*'Tax Tables'!$B$26))*1-MIN('Tax Tables'!$B$22*(MAX(W477,0)-IF(Calculator!$B$10="Yes",MIN(MAX(W477,0),'Tax Tables'!$B$27)*'Tax Tables'!$B$28+MIN(MAX(MAX(W477,0)-'Tax Tables'!$B$27,0),'Tax Tables'!$B$29)*'Tax Tables'!$B$30,MIN(MAX(W477,0),'Tax Tables'!$B$23)*'Tax Tables'!$B$24+MIN(MAX(MAX(W477,0)-'Tax Tables'!$B$23,0),'Tax Tables'!$B$25)*'Tax Tables'!$B$26))*Calculator!$B$11,Calculator!$B$12)</f>
        <v>12456.325</v>
      </c>
      <c r="Y477" s="11" t="n">
        <f aca="false">MAX(W477,0)-X477</f>
        <v>139088.675</v>
      </c>
      <c r="Z477" s="11" t="n">
        <f aca="false">MIN(IF(P477&gt;0,Calculator!$B$13,0)+T477+Calculator!$B$14,'Tax Tables'!$B$36)</f>
        <v>20200</v>
      </c>
      <c r="AA477" s="11" t="n">
        <f aca="false">MAX(P477-Z477,0)</f>
        <v>211800</v>
      </c>
      <c r="AB477" s="11" t="n">
        <f aca="false">SUMPRODUCT((AA477&gt;'Tax Tables'!$A$5:$A$17)*(AA477-'Tax Tables'!$A$5:$A$17)*'Tax Tables'!$C$5:$C$17)</f>
        <v>23392</v>
      </c>
      <c r="AC477" s="11" t="n">
        <f aca="false">IF(W477&lt;0,-1E+099,P477-T477-AB477+Y477+(T477+U477)*Calculator!$B$9)</f>
        <v>364016.675</v>
      </c>
    </row>
    <row r="478" customFormat="false" ht="15" hidden="false" customHeight="false" outlineLevel="0" collapsed="false">
      <c r="A478" s="11" t="n">
        <f aca="false">465*$B$3</f>
        <v>232500</v>
      </c>
      <c r="B478" s="11" t="n">
        <f aca="false">0</f>
        <v>0</v>
      </c>
      <c r="C478" s="11" t="n">
        <f aca="false">A478-B478</f>
        <v>232500</v>
      </c>
      <c r="D478" s="11" t="n">
        <f aca="false">IF(Calculator!$B$6="Yes",MIN(B478,'Tax Tables'!$B$31*'Tax Tables'!$B$32),0)</f>
        <v>0</v>
      </c>
      <c r="E478" s="11" t="n">
        <f aca="false">D478*Calculator!$B$7</f>
        <v>0</v>
      </c>
      <c r="F478" s="11" t="n">
        <f aca="false">D478*Calculator!$B$8</f>
        <v>0</v>
      </c>
      <c r="G478" s="11" t="n">
        <f aca="false">IF(B478&gt;0,'Tax Tables'!$B$32*MIN(MAX(B478/'Tax Tables'!$B$32*'Tax Tables'!$B$33,'Tax Tables'!$B$34),'Tax Tables'!$B$35),0)</f>
        <v>0</v>
      </c>
      <c r="H478" s="11" t="n">
        <f aca="false">Calculator!$B$5-A478-F478-G478</f>
        <v>167500</v>
      </c>
      <c r="I478" s="11" t="n">
        <f aca="false">'Tax Tables'!$B$22*(MAX(H478,0)-IF(Calculator!$B$10="Yes",MIN(MAX(H478,0),'Tax Tables'!$B$27)*'Tax Tables'!$B$28+MIN(MAX(MAX(H478,0)-'Tax Tables'!$B$27,0),'Tax Tables'!$B$29)*'Tax Tables'!$B$30,MIN(MAX(H478,0),'Tax Tables'!$B$23)*'Tax Tables'!$B$24+MIN(MAX(MAX(H478,0)-'Tax Tables'!$B$23,0),'Tax Tables'!$B$25)*'Tax Tables'!$B$26))*1-MIN('Tax Tables'!$B$22*(MAX(H478,0)-IF(Calculator!$B$10="Yes",MIN(MAX(H478,0),'Tax Tables'!$B$27)*'Tax Tables'!$B$28+MIN(MAX(MAX(H478,0)-'Tax Tables'!$B$27,0),'Tax Tables'!$B$29)*'Tax Tables'!$B$30,MIN(MAX(H478,0),'Tax Tables'!$B$23)*'Tax Tables'!$B$24+MIN(MAX(MAX(H478,0)-'Tax Tables'!$B$23,0),'Tax Tables'!$B$25)*'Tax Tables'!$B$26))*Calculator!$B$11,Calculator!$B$12)</f>
        <v>13812.5</v>
      </c>
      <c r="J478" s="11" t="n">
        <f aca="false">MAX(H478,0)-I478</f>
        <v>153687.5</v>
      </c>
      <c r="K478" s="11" t="n">
        <f aca="false">MIN(IF(A478&gt;0,Calculator!$B$13,0)+E478+Calculator!$B$14,'Tax Tables'!$B$36)</f>
        <v>1000</v>
      </c>
      <c r="L478" s="11" t="n">
        <f aca="false">MAX(A478-K478,0)</f>
        <v>231500</v>
      </c>
      <c r="M478" s="11" t="n">
        <f aca="false">SUMPRODUCT((L478&gt;'Tax Tables'!$A$5:$A$17)*(L478-'Tax Tables'!$A$5:$A$17)*'Tax Tables'!$C$5:$C$17)</f>
        <v>27135</v>
      </c>
      <c r="N478" s="11" t="n">
        <f aca="false">IF(H478&lt;0,-1E+099,A478-E478-M478+J478+(E478+F478)*Calculator!$B$9)</f>
        <v>359052.5</v>
      </c>
      <c r="O478" s="2"/>
      <c r="P478" s="11" t="n">
        <f aca="false">465*$B$3</f>
        <v>232500</v>
      </c>
      <c r="Q478" s="11" t="n">
        <f aca="false">MIN(P478,'Tax Tables'!$B$31*'Tax Tables'!$B$32)</f>
        <v>96000</v>
      </c>
      <c r="R478" s="11" t="n">
        <f aca="false">P478-Q478</f>
        <v>136500</v>
      </c>
      <c r="S478" s="11" t="n">
        <f aca="false">IF(Calculator!$B$6="Yes",MIN(Q478,'Tax Tables'!$B$31*'Tax Tables'!$B$32),0)</f>
        <v>96000</v>
      </c>
      <c r="T478" s="11" t="n">
        <f aca="false">S478*Calculator!$B$7</f>
        <v>19200</v>
      </c>
      <c r="U478" s="11" t="n">
        <f aca="false">S478*Calculator!$B$8</f>
        <v>16320</v>
      </c>
      <c r="V478" s="11" t="n">
        <f aca="false">IF(Q478&gt;0,'Tax Tables'!$B$32*MIN(MAX(Q478/'Tax Tables'!$B$32*'Tax Tables'!$B$33,'Tax Tables'!$B$34),'Tax Tables'!$B$35),0)</f>
        <v>135</v>
      </c>
      <c r="W478" s="11" t="n">
        <f aca="false">Calculator!$B$5-P478-U478-V478</f>
        <v>151045</v>
      </c>
      <c r="X478" s="11" t="n">
        <f aca="false">'Tax Tables'!$B$22*(MAX(W478,0)-IF(Calculator!$B$10="Yes",MIN(MAX(W478,0),'Tax Tables'!$B$27)*'Tax Tables'!$B$28+MIN(MAX(MAX(W478,0)-'Tax Tables'!$B$27,0),'Tax Tables'!$B$29)*'Tax Tables'!$B$30,MIN(MAX(W478,0),'Tax Tables'!$B$23)*'Tax Tables'!$B$24+MIN(MAX(MAX(W478,0)-'Tax Tables'!$B$23,0),'Tax Tables'!$B$25)*'Tax Tables'!$B$26))*1-MIN('Tax Tables'!$B$22*(MAX(W478,0)-IF(Calculator!$B$10="Yes",MIN(MAX(W478,0),'Tax Tables'!$B$27)*'Tax Tables'!$B$28+MIN(MAX(MAX(W478,0)-'Tax Tables'!$B$27,0),'Tax Tables'!$B$29)*'Tax Tables'!$B$30,MIN(MAX(W478,0),'Tax Tables'!$B$23)*'Tax Tables'!$B$24+MIN(MAX(MAX(W478,0)-'Tax Tables'!$B$23,0),'Tax Tables'!$B$25)*'Tax Tables'!$B$26))*Calculator!$B$11,Calculator!$B$12)</f>
        <v>12413.825</v>
      </c>
      <c r="Y478" s="11" t="n">
        <f aca="false">MAX(W478,0)-X478</f>
        <v>138631.175</v>
      </c>
      <c r="Z478" s="11" t="n">
        <f aca="false">MIN(IF(P478&gt;0,Calculator!$B$13,0)+T478+Calculator!$B$14,'Tax Tables'!$B$36)</f>
        <v>20200</v>
      </c>
      <c r="AA478" s="11" t="n">
        <f aca="false">MAX(P478-Z478,0)</f>
        <v>212300</v>
      </c>
      <c r="AB478" s="11" t="n">
        <f aca="false">SUMPRODUCT((AA478&gt;'Tax Tables'!$A$5:$A$17)*(AA478-'Tax Tables'!$A$5:$A$17)*'Tax Tables'!$C$5:$C$17)</f>
        <v>23487</v>
      </c>
      <c r="AC478" s="11" t="n">
        <f aca="false">IF(W478&lt;0,-1E+099,P478-T478-AB478+Y478+(T478+U478)*Calculator!$B$9)</f>
        <v>363964.175</v>
      </c>
    </row>
    <row r="479" customFormat="false" ht="15" hidden="false" customHeight="false" outlineLevel="0" collapsed="false">
      <c r="A479" s="11" t="n">
        <f aca="false">466*$B$3</f>
        <v>233000</v>
      </c>
      <c r="B479" s="11" t="n">
        <f aca="false">0</f>
        <v>0</v>
      </c>
      <c r="C479" s="11" t="n">
        <f aca="false">A479-B479</f>
        <v>233000</v>
      </c>
      <c r="D479" s="11" t="n">
        <f aca="false">IF(Calculator!$B$6="Yes",MIN(B479,'Tax Tables'!$B$31*'Tax Tables'!$B$32),0)</f>
        <v>0</v>
      </c>
      <c r="E479" s="11" t="n">
        <f aca="false">D479*Calculator!$B$7</f>
        <v>0</v>
      </c>
      <c r="F479" s="11" t="n">
        <f aca="false">D479*Calculator!$B$8</f>
        <v>0</v>
      </c>
      <c r="G479" s="11" t="n">
        <f aca="false">IF(B479&gt;0,'Tax Tables'!$B$32*MIN(MAX(B479/'Tax Tables'!$B$32*'Tax Tables'!$B$33,'Tax Tables'!$B$34),'Tax Tables'!$B$35),0)</f>
        <v>0</v>
      </c>
      <c r="H479" s="11" t="n">
        <f aca="false">Calculator!$B$5-A479-F479-G479</f>
        <v>167000</v>
      </c>
      <c r="I479" s="11" t="n">
        <f aca="false">'Tax Tables'!$B$22*(MAX(H479,0)-IF(Calculator!$B$10="Yes",MIN(MAX(H479,0),'Tax Tables'!$B$27)*'Tax Tables'!$B$28+MIN(MAX(MAX(H479,0)-'Tax Tables'!$B$27,0),'Tax Tables'!$B$29)*'Tax Tables'!$B$30,MIN(MAX(H479,0),'Tax Tables'!$B$23)*'Tax Tables'!$B$24+MIN(MAX(MAX(H479,0)-'Tax Tables'!$B$23,0),'Tax Tables'!$B$25)*'Tax Tables'!$B$26))*1-MIN('Tax Tables'!$B$22*(MAX(H479,0)-IF(Calculator!$B$10="Yes",MIN(MAX(H479,0),'Tax Tables'!$B$27)*'Tax Tables'!$B$28+MIN(MAX(MAX(H479,0)-'Tax Tables'!$B$27,0),'Tax Tables'!$B$29)*'Tax Tables'!$B$30,MIN(MAX(H479,0),'Tax Tables'!$B$23)*'Tax Tables'!$B$24+MIN(MAX(MAX(H479,0)-'Tax Tables'!$B$23,0),'Tax Tables'!$B$25)*'Tax Tables'!$B$26))*Calculator!$B$11,Calculator!$B$12)</f>
        <v>13770</v>
      </c>
      <c r="J479" s="11" t="n">
        <f aca="false">MAX(H479,0)-I479</f>
        <v>153230</v>
      </c>
      <c r="K479" s="11" t="n">
        <f aca="false">MIN(IF(A479&gt;0,Calculator!$B$13,0)+E479+Calculator!$B$14,'Tax Tables'!$B$36)</f>
        <v>1000</v>
      </c>
      <c r="L479" s="11" t="n">
        <f aca="false">MAX(A479-K479,0)</f>
        <v>232000</v>
      </c>
      <c r="M479" s="11" t="n">
        <f aca="false">SUMPRODUCT((L479&gt;'Tax Tables'!$A$5:$A$17)*(L479-'Tax Tables'!$A$5:$A$17)*'Tax Tables'!$C$5:$C$17)</f>
        <v>27230</v>
      </c>
      <c r="N479" s="11" t="n">
        <f aca="false">IF(H479&lt;0,-1E+099,A479-E479-M479+J479+(E479+F479)*Calculator!$B$9)</f>
        <v>359000</v>
      </c>
      <c r="O479" s="2"/>
      <c r="P479" s="11" t="n">
        <f aca="false">466*$B$3</f>
        <v>233000</v>
      </c>
      <c r="Q479" s="11" t="n">
        <f aca="false">MIN(P479,'Tax Tables'!$B$31*'Tax Tables'!$B$32)</f>
        <v>96000</v>
      </c>
      <c r="R479" s="11" t="n">
        <f aca="false">P479-Q479</f>
        <v>137000</v>
      </c>
      <c r="S479" s="11" t="n">
        <f aca="false">IF(Calculator!$B$6="Yes",MIN(Q479,'Tax Tables'!$B$31*'Tax Tables'!$B$32),0)</f>
        <v>96000</v>
      </c>
      <c r="T479" s="11" t="n">
        <f aca="false">S479*Calculator!$B$7</f>
        <v>19200</v>
      </c>
      <c r="U479" s="11" t="n">
        <f aca="false">S479*Calculator!$B$8</f>
        <v>16320</v>
      </c>
      <c r="V479" s="11" t="n">
        <f aca="false">IF(Q479&gt;0,'Tax Tables'!$B$32*MIN(MAX(Q479/'Tax Tables'!$B$32*'Tax Tables'!$B$33,'Tax Tables'!$B$34),'Tax Tables'!$B$35),0)</f>
        <v>135</v>
      </c>
      <c r="W479" s="11" t="n">
        <f aca="false">Calculator!$B$5-P479-U479-V479</f>
        <v>150545</v>
      </c>
      <c r="X479" s="11" t="n">
        <f aca="false">'Tax Tables'!$B$22*(MAX(W479,0)-IF(Calculator!$B$10="Yes",MIN(MAX(W479,0),'Tax Tables'!$B$27)*'Tax Tables'!$B$28+MIN(MAX(MAX(W479,0)-'Tax Tables'!$B$27,0),'Tax Tables'!$B$29)*'Tax Tables'!$B$30,MIN(MAX(W479,0),'Tax Tables'!$B$23)*'Tax Tables'!$B$24+MIN(MAX(MAX(W479,0)-'Tax Tables'!$B$23,0),'Tax Tables'!$B$25)*'Tax Tables'!$B$26))*1-MIN('Tax Tables'!$B$22*(MAX(W479,0)-IF(Calculator!$B$10="Yes",MIN(MAX(W479,0),'Tax Tables'!$B$27)*'Tax Tables'!$B$28+MIN(MAX(MAX(W479,0)-'Tax Tables'!$B$27,0),'Tax Tables'!$B$29)*'Tax Tables'!$B$30,MIN(MAX(W479,0),'Tax Tables'!$B$23)*'Tax Tables'!$B$24+MIN(MAX(MAX(W479,0)-'Tax Tables'!$B$23,0),'Tax Tables'!$B$25)*'Tax Tables'!$B$26))*Calculator!$B$11,Calculator!$B$12)</f>
        <v>12371.325</v>
      </c>
      <c r="Y479" s="11" t="n">
        <f aca="false">MAX(W479,0)-X479</f>
        <v>138173.675</v>
      </c>
      <c r="Z479" s="11" t="n">
        <f aca="false">MIN(IF(P479&gt;0,Calculator!$B$13,0)+T479+Calculator!$B$14,'Tax Tables'!$B$36)</f>
        <v>20200</v>
      </c>
      <c r="AA479" s="11" t="n">
        <f aca="false">MAX(P479-Z479,0)</f>
        <v>212800</v>
      </c>
      <c r="AB479" s="11" t="n">
        <f aca="false">SUMPRODUCT((AA479&gt;'Tax Tables'!$A$5:$A$17)*(AA479-'Tax Tables'!$A$5:$A$17)*'Tax Tables'!$C$5:$C$17)</f>
        <v>23582</v>
      </c>
      <c r="AC479" s="11" t="n">
        <f aca="false">IF(W479&lt;0,-1E+099,P479-T479-AB479+Y479+(T479+U479)*Calculator!$B$9)</f>
        <v>363911.675</v>
      </c>
    </row>
    <row r="480" customFormat="false" ht="15" hidden="false" customHeight="false" outlineLevel="0" collapsed="false">
      <c r="A480" s="11" t="n">
        <f aca="false">467*$B$3</f>
        <v>233500</v>
      </c>
      <c r="B480" s="11" t="n">
        <f aca="false">0</f>
        <v>0</v>
      </c>
      <c r="C480" s="11" t="n">
        <f aca="false">A480-B480</f>
        <v>233500</v>
      </c>
      <c r="D480" s="11" t="n">
        <f aca="false">IF(Calculator!$B$6="Yes",MIN(B480,'Tax Tables'!$B$31*'Tax Tables'!$B$32),0)</f>
        <v>0</v>
      </c>
      <c r="E480" s="11" t="n">
        <f aca="false">D480*Calculator!$B$7</f>
        <v>0</v>
      </c>
      <c r="F480" s="11" t="n">
        <f aca="false">D480*Calculator!$B$8</f>
        <v>0</v>
      </c>
      <c r="G480" s="11" t="n">
        <f aca="false">IF(B480&gt;0,'Tax Tables'!$B$32*MIN(MAX(B480/'Tax Tables'!$B$32*'Tax Tables'!$B$33,'Tax Tables'!$B$34),'Tax Tables'!$B$35),0)</f>
        <v>0</v>
      </c>
      <c r="H480" s="11" t="n">
        <f aca="false">Calculator!$B$5-A480-F480-G480</f>
        <v>166500</v>
      </c>
      <c r="I480" s="11" t="n">
        <f aca="false">'Tax Tables'!$B$22*(MAX(H480,0)-IF(Calculator!$B$10="Yes",MIN(MAX(H480,0),'Tax Tables'!$B$27)*'Tax Tables'!$B$28+MIN(MAX(MAX(H480,0)-'Tax Tables'!$B$27,0),'Tax Tables'!$B$29)*'Tax Tables'!$B$30,MIN(MAX(H480,0),'Tax Tables'!$B$23)*'Tax Tables'!$B$24+MIN(MAX(MAX(H480,0)-'Tax Tables'!$B$23,0),'Tax Tables'!$B$25)*'Tax Tables'!$B$26))*1-MIN('Tax Tables'!$B$22*(MAX(H480,0)-IF(Calculator!$B$10="Yes",MIN(MAX(H480,0),'Tax Tables'!$B$27)*'Tax Tables'!$B$28+MIN(MAX(MAX(H480,0)-'Tax Tables'!$B$27,0),'Tax Tables'!$B$29)*'Tax Tables'!$B$30,MIN(MAX(H480,0),'Tax Tables'!$B$23)*'Tax Tables'!$B$24+MIN(MAX(MAX(H480,0)-'Tax Tables'!$B$23,0),'Tax Tables'!$B$25)*'Tax Tables'!$B$26))*Calculator!$B$11,Calculator!$B$12)</f>
        <v>13727.5</v>
      </c>
      <c r="J480" s="11" t="n">
        <f aca="false">MAX(H480,0)-I480</f>
        <v>152772.5</v>
      </c>
      <c r="K480" s="11" t="n">
        <f aca="false">MIN(IF(A480&gt;0,Calculator!$B$13,0)+E480+Calculator!$B$14,'Tax Tables'!$B$36)</f>
        <v>1000</v>
      </c>
      <c r="L480" s="11" t="n">
        <f aca="false">MAX(A480-K480,0)</f>
        <v>232500</v>
      </c>
      <c r="M480" s="11" t="n">
        <f aca="false">SUMPRODUCT((L480&gt;'Tax Tables'!$A$5:$A$17)*(L480-'Tax Tables'!$A$5:$A$17)*'Tax Tables'!$C$5:$C$17)</f>
        <v>27325</v>
      </c>
      <c r="N480" s="11" t="n">
        <f aca="false">IF(H480&lt;0,-1E+099,A480-E480-M480+J480+(E480+F480)*Calculator!$B$9)</f>
        <v>358947.5</v>
      </c>
      <c r="O480" s="2"/>
      <c r="P480" s="11" t="n">
        <f aca="false">467*$B$3</f>
        <v>233500</v>
      </c>
      <c r="Q480" s="11" t="n">
        <f aca="false">MIN(P480,'Tax Tables'!$B$31*'Tax Tables'!$B$32)</f>
        <v>96000</v>
      </c>
      <c r="R480" s="11" t="n">
        <f aca="false">P480-Q480</f>
        <v>137500</v>
      </c>
      <c r="S480" s="11" t="n">
        <f aca="false">IF(Calculator!$B$6="Yes",MIN(Q480,'Tax Tables'!$B$31*'Tax Tables'!$B$32),0)</f>
        <v>96000</v>
      </c>
      <c r="T480" s="11" t="n">
        <f aca="false">S480*Calculator!$B$7</f>
        <v>19200</v>
      </c>
      <c r="U480" s="11" t="n">
        <f aca="false">S480*Calculator!$B$8</f>
        <v>16320</v>
      </c>
      <c r="V480" s="11" t="n">
        <f aca="false">IF(Q480&gt;0,'Tax Tables'!$B$32*MIN(MAX(Q480/'Tax Tables'!$B$32*'Tax Tables'!$B$33,'Tax Tables'!$B$34),'Tax Tables'!$B$35),0)</f>
        <v>135</v>
      </c>
      <c r="W480" s="11" t="n">
        <f aca="false">Calculator!$B$5-P480-U480-V480</f>
        <v>150045</v>
      </c>
      <c r="X480" s="11" t="n">
        <f aca="false">'Tax Tables'!$B$22*(MAX(W480,0)-IF(Calculator!$B$10="Yes",MIN(MAX(W480,0),'Tax Tables'!$B$27)*'Tax Tables'!$B$28+MIN(MAX(MAX(W480,0)-'Tax Tables'!$B$27,0),'Tax Tables'!$B$29)*'Tax Tables'!$B$30,MIN(MAX(W480,0),'Tax Tables'!$B$23)*'Tax Tables'!$B$24+MIN(MAX(MAX(W480,0)-'Tax Tables'!$B$23,0),'Tax Tables'!$B$25)*'Tax Tables'!$B$26))*1-MIN('Tax Tables'!$B$22*(MAX(W480,0)-IF(Calculator!$B$10="Yes",MIN(MAX(W480,0),'Tax Tables'!$B$27)*'Tax Tables'!$B$28+MIN(MAX(MAX(W480,0)-'Tax Tables'!$B$27,0),'Tax Tables'!$B$29)*'Tax Tables'!$B$30,MIN(MAX(W480,0),'Tax Tables'!$B$23)*'Tax Tables'!$B$24+MIN(MAX(MAX(W480,0)-'Tax Tables'!$B$23,0),'Tax Tables'!$B$25)*'Tax Tables'!$B$26))*Calculator!$B$11,Calculator!$B$12)</f>
        <v>12328.825</v>
      </c>
      <c r="Y480" s="11" t="n">
        <f aca="false">MAX(W480,0)-X480</f>
        <v>137716.175</v>
      </c>
      <c r="Z480" s="11" t="n">
        <f aca="false">MIN(IF(P480&gt;0,Calculator!$B$13,0)+T480+Calculator!$B$14,'Tax Tables'!$B$36)</f>
        <v>20200</v>
      </c>
      <c r="AA480" s="11" t="n">
        <f aca="false">MAX(P480-Z480,0)</f>
        <v>213300</v>
      </c>
      <c r="AB480" s="11" t="n">
        <f aca="false">SUMPRODUCT((AA480&gt;'Tax Tables'!$A$5:$A$17)*(AA480-'Tax Tables'!$A$5:$A$17)*'Tax Tables'!$C$5:$C$17)</f>
        <v>23677</v>
      </c>
      <c r="AC480" s="11" t="n">
        <f aca="false">IF(W480&lt;0,-1E+099,P480-T480-AB480+Y480+(T480+U480)*Calculator!$B$9)</f>
        <v>363859.175</v>
      </c>
    </row>
    <row r="481" customFormat="false" ht="15" hidden="false" customHeight="false" outlineLevel="0" collapsed="false">
      <c r="A481" s="11" t="n">
        <f aca="false">468*$B$3</f>
        <v>234000</v>
      </c>
      <c r="B481" s="11" t="n">
        <f aca="false">0</f>
        <v>0</v>
      </c>
      <c r="C481" s="11" t="n">
        <f aca="false">A481-B481</f>
        <v>234000</v>
      </c>
      <c r="D481" s="11" t="n">
        <f aca="false">IF(Calculator!$B$6="Yes",MIN(B481,'Tax Tables'!$B$31*'Tax Tables'!$B$32),0)</f>
        <v>0</v>
      </c>
      <c r="E481" s="11" t="n">
        <f aca="false">D481*Calculator!$B$7</f>
        <v>0</v>
      </c>
      <c r="F481" s="11" t="n">
        <f aca="false">D481*Calculator!$B$8</f>
        <v>0</v>
      </c>
      <c r="G481" s="11" t="n">
        <f aca="false">IF(B481&gt;0,'Tax Tables'!$B$32*MIN(MAX(B481/'Tax Tables'!$B$32*'Tax Tables'!$B$33,'Tax Tables'!$B$34),'Tax Tables'!$B$35),0)</f>
        <v>0</v>
      </c>
      <c r="H481" s="11" t="n">
        <f aca="false">Calculator!$B$5-A481-F481-G481</f>
        <v>166000</v>
      </c>
      <c r="I481" s="11" t="n">
        <f aca="false">'Tax Tables'!$B$22*(MAX(H481,0)-IF(Calculator!$B$10="Yes",MIN(MAX(H481,0),'Tax Tables'!$B$27)*'Tax Tables'!$B$28+MIN(MAX(MAX(H481,0)-'Tax Tables'!$B$27,0),'Tax Tables'!$B$29)*'Tax Tables'!$B$30,MIN(MAX(H481,0),'Tax Tables'!$B$23)*'Tax Tables'!$B$24+MIN(MAX(MAX(H481,0)-'Tax Tables'!$B$23,0),'Tax Tables'!$B$25)*'Tax Tables'!$B$26))*1-MIN('Tax Tables'!$B$22*(MAX(H481,0)-IF(Calculator!$B$10="Yes",MIN(MAX(H481,0),'Tax Tables'!$B$27)*'Tax Tables'!$B$28+MIN(MAX(MAX(H481,0)-'Tax Tables'!$B$27,0),'Tax Tables'!$B$29)*'Tax Tables'!$B$30,MIN(MAX(H481,0),'Tax Tables'!$B$23)*'Tax Tables'!$B$24+MIN(MAX(MAX(H481,0)-'Tax Tables'!$B$23,0),'Tax Tables'!$B$25)*'Tax Tables'!$B$26))*Calculator!$B$11,Calculator!$B$12)</f>
        <v>13685</v>
      </c>
      <c r="J481" s="11" t="n">
        <f aca="false">MAX(H481,0)-I481</f>
        <v>152315</v>
      </c>
      <c r="K481" s="11" t="n">
        <f aca="false">MIN(IF(A481&gt;0,Calculator!$B$13,0)+E481+Calculator!$B$14,'Tax Tables'!$B$36)</f>
        <v>1000</v>
      </c>
      <c r="L481" s="11" t="n">
        <f aca="false">MAX(A481-K481,0)</f>
        <v>233000</v>
      </c>
      <c r="M481" s="11" t="n">
        <f aca="false">SUMPRODUCT((L481&gt;'Tax Tables'!$A$5:$A$17)*(L481-'Tax Tables'!$A$5:$A$17)*'Tax Tables'!$C$5:$C$17)</f>
        <v>27420</v>
      </c>
      <c r="N481" s="11" t="n">
        <f aca="false">IF(H481&lt;0,-1E+099,A481-E481-M481+J481+(E481+F481)*Calculator!$B$9)</f>
        <v>358895</v>
      </c>
      <c r="O481" s="2"/>
      <c r="P481" s="11" t="n">
        <f aca="false">468*$B$3</f>
        <v>234000</v>
      </c>
      <c r="Q481" s="11" t="n">
        <f aca="false">MIN(P481,'Tax Tables'!$B$31*'Tax Tables'!$B$32)</f>
        <v>96000</v>
      </c>
      <c r="R481" s="11" t="n">
        <f aca="false">P481-Q481</f>
        <v>138000</v>
      </c>
      <c r="S481" s="11" t="n">
        <f aca="false">IF(Calculator!$B$6="Yes",MIN(Q481,'Tax Tables'!$B$31*'Tax Tables'!$B$32),0)</f>
        <v>96000</v>
      </c>
      <c r="T481" s="11" t="n">
        <f aca="false">S481*Calculator!$B$7</f>
        <v>19200</v>
      </c>
      <c r="U481" s="11" t="n">
        <f aca="false">S481*Calculator!$B$8</f>
        <v>16320</v>
      </c>
      <c r="V481" s="11" t="n">
        <f aca="false">IF(Q481&gt;0,'Tax Tables'!$B$32*MIN(MAX(Q481/'Tax Tables'!$B$32*'Tax Tables'!$B$33,'Tax Tables'!$B$34),'Tax Tables'!$B$35),0)</f>
        <v>135</v>
      </c>
      <c r="W481" s="11" t="n">
        <f aca="false">Calculator!$B$5-P481-U481-V481</f>
        <v>149545</v>
      </c>
      <c r="X481" s="11" t="n">
        <f aca="false">'Tax Tables'!$B$22*(MAX(W481,0)-IF(Calculator!$B$10="Yes",MIN(MAX(W481,0),'Tax Tables'!$B$27)*'Tax Tables'!$B$28+MIN(MAX(MAX(W481,0)-'Tax Tables'!$B$27,0),'Tax Tables'!$B$29)*'Tax Tables'!$B$30,MIN(MAX(W481,0),'Tax Tables'!$B$23)*'Tax Tables'!$B$24+MIN(MAX(MAX(W481,0)-'Tax Tables'!$B$23,0),'Tax Tables'!$B$25)*'Tax Tables'!$B$26))*1-MIN('Tax Tables'!$B$22*(MAX(W481,0)-IF(Calculator!$B$10="Yes",MIN(MAX(W481,0),'Tax Tables'!$B$27)*'Tax Tables'!$B$28+MIN(MAX(MAX(W481,0)-'Tax Tables'!$B$27,0),'Tax Tables'!$B$29)*'Tax Tables'!$B$30,MIN(MAX(W481,0),'Tax Tables'!$B$23)*'Tax Tables'!$B$24+MIN(MAX(MAX(W481,0)-'Tax Tables'!$B$23,0),'Tax Tables'!$B$25)*'Tax Tables'!$B$26))*Calculator!$B$11,Calculator!$B$12)</f>
        <v>12286.325</v>
      </c>
      <c r="Y481" s="11" t="n">
        <f aca="false">MAX(W481,0)-X481</f>
        <v>137258.675</v>
      </c>
      <c r="Z481" s="11" t="n">
        <f aca="false">MIN(IF(P481&gt;0,Calculator!$B$13,0)+T481+Calculator!$B$14,'Tax Tables'!$B$36)</f>
        <v>20200</v>
      </c>
      <c r="AA481" s="11" t="n">
        <f aca="false">MAX(P481-Z481,0)</f>
        <v>213800</v>
      </c>
      <c r="AB481" s="11" t="n">
        <f aca="false">SUMPRODUCT((AA481&gt;'Tax Tables'!$A$5:$A$17)*(AA481-'Tax Tables'!$A$5:$A$17)*'Tax Tables'!$C$5:$C$17)</f>
        <v>23772</v>
      </c>
      <c r="AC481" s="11" t="n">
        <f aca="false">IF(W481&lt;0,-1E+099,P481-T481-AB481+Y481+(T481+U481)*Calculator!$B$9)</f>
        <v>363806.675</v>
      </c>
    </row>
    <row r="482" customFormat="false" ht="15" hidden="false" customHeight="false" outlineLevel="0" collapsed="false">
      <c r="A482" s="11" t="n">
        <f aca="false">469*$B$3</f>
        <v>234500</v>
      </c>
      <c r="B482" s="11" t="n">
        <f aca="false">0</f>
        <v>0</v>
      </c>
      <c r="C482" s="11" t="n">
        <f aca="false">A482-B482</f>
        <v>234500</v>
      </c>
      <c r="D482" s="11" t="n">
        <f aca="false">IF(Calculator!$B$6="Yes",MIN(B482,'Tax Tables'!$B$31*'Tax Tables'!$B$32),0)</f>
        <v>0</v>
      </c>
      <c r="E482" s="11" t="n">
        <f aca="false">D482*Calculator!$B$7</f>
        <v>0</v>
      </c>
      <c r="F482" s="11" t="n">
        <f aca="false">D482*Calculator!$B$8</f>
        <v>0</v>
      </c>
      <c r="G482" s="11" t="n">
        <f aca="false">IF(B482&gt;0,'Tax Tables'!$B$32*MIN(MAX(B482/'Tax Tables'!$B$32*'Tax Tables'!$B$33,'Tax Tables'!$B$34),'Tax Tables'!$B$35),0)</f>
        <v>0</v>
      </c>
      <c r="H482" s="11" t="n">
        <f aca="false">Calculator!$B$5-A482-F482-G482</f>
        <v>165500</v>
      </c>
      <c r="I482" s="11" t="n">
        <f aca="false">'Tax Tables'!$B$22*(MAX(H482,0)-IF(Calculator!$B$10="Yes",MIN(MAX(H482,0),'Tax Tables'!$B$27)*'Tax Tables'!$B$28+MIN(MAX(MAX(H482,0)-'Tax Tables'!$B$27,0),'Tax Tables'!$B$29)*'Tax Tables'!$B$30,MIN(MAX(H482,0),'Tax Tables'!$B$23)*'Tax Tables'!$B$24+MIN(MAX(MAX(H482,0)-'Tax Tables'!$B$23,0),'Tax Tables'!$B$25)*'Tax Tables'!$B$26))*1-MIN('Tax Tables'!$B$22*(MAX(H482,0)-IF(Calculator!$B$10="Yes",MIN(MAX(H482,0),'Tax Tables'!$B$27)*'Tax Tables'!$B$28+MIN(MAX(MAX(H482,0)-'Tax Tables'!$B$27,0),'Tax Tables'!$B$29)*'Tax Tables'!$B$30,MIN(MAX(H482,0),'Tax Tables'!$B$23)*'Tax Tables'!$B$24+MIN(MAX(MAX(H482,0)-'Tax Tables'!$B$23,0),'Tax Tables'!$B$25)*'Tax Tables'!$B$26))*Calculator!$B$11,Calculator!$B$12)</f>
        <v>13642.5</v>
      </c>
      <c r="J482" s="11" t="n">
        <f aca="false">MAX(H482,0)-I482</f>
        <v>151857.5</v>
      </c>
      <c r="K482" s="11" t="n">
        <f aca="false">MIN(IF(A482&gt;0,Calculator!$B$13,0)+E482+Calculator!$B$14,'Tax Tables'!$B$36)</f>
        <v>1000</v>
      </c>
      <c r="L482" s="11" t="n">
        <f aca="false">MAX(A482-K482,0)</f>
        <v>233500</v>
      </c>
      <c r="M482" s="11" t="n">
        <f aca="false">SUMPRODUCT((L482&gt;'Tax Tables'!$A$5:$A$17)*(L482-'Tax Tables'!$A$5:$A$17)*'Tax Tables'!$C$5:$C$17)</f>
        <v>27515</v>
      </c>
      <c r="N482" s="11" t="n">
        <f aca="false">IF(H482&lt;0,-1E+099,A482-E482-M482+J482+(E482+F482)*Calculator!$B$9)</f>
        <v>358842.5</v>
      </c>
      <c r="O482" s="2"/>
      <c r="P482" s="11" t="n">
        <f aca="false">469*$B$3</f>
        <v>234500</v>
      </c>
      <c r="Q482" s="11" t="n">
        <f aca="false">MIN(P482,'Tax Tables'!$B$31*'Tax Tables'!$B$32)</f>
        <v>96000</v>
      </c>
      <c r="R482" s="11" t="n">
        <f aca="false">P482-Q482</f>
        <v>138500</v>
      </c>
      <c r="S482" s="11" t="n">
        <f aca="false">IF(Calculator!$B$6="Yes",MIN(Q482,'Tax Tables'!$B$31*'Tax Tables'!$B$32),0)</f>
        <v>96000</v>
      </c>
      <c r="T482" s="11" t="n">
        <f aca="false">S482*Calculator!$B$7</f>
        <v>19200</v>
      </c>
      <c r="U482" s="11" t="n">
        <f aca="false">S482*Calculator!$B$8</f>
        <v>16320</v>
      </c>
      <c r="V482" s="11" t="n">
        <f aca="false">IF(Q482&gt;0,'Tax Tables'!$B$32*MIN(MAX(Q482/'Tax Tables'!$B$32*'Tax Tables'!$B$33,'Tax Tables'!$B$34),'Tax Tables'!$B$35),0)</f>
        <v>135</v>
      </c>
      <c r="W482" s="11" t="n">
        <f aca="false">Calculator!$B$5-P482-U482-V482</f>
        <v>149045</v>
      </c>
      <c r="X482" s="11" t="n">
        <f aca="false">'Tax Tables'!$B$22*(MAX(W482,0)-IF(Calculator!$B$10="Yes",MIN(MAX(W482,0),'Tax Tables'!$B$27)*'Tax Tables'!$B$28+MIN(MAX(MAX(W482,0)-'Tax Tables'!$B$27,0),'Tax Tables'!$B$29)*'Tax Tables'!$B$30,MIN(MAX(W482,0),'Tax Tables'!$B$23)*'Tax Tables'!$B$24+MIN(MAX(MAX(W482,0)-'Tax Tables'!$B$23,0),'Tax Tables'!$B$25)*'Tax Tables'!$B$26))*1-MIN('Tax Tables'!$B$22*(MAX(W482,0)-IF(Calculator!$B$10="Yes",MIN(MAX(W482,0),'Tax Tables'!$B$27)*'Tax Tables'!$B$28+MIN(MAX(MAX(W482,0)-'Tax Tables'!$B$27,0),'Tax Tables'!$B$29)*'Tax Tables'!$B$30,MIN(MAX(W482,0),'Tax Tables'!$B$23)*'Tax Tables'!$B$24+MIN(MAX(MAX(W482,0)-'Tax Tables'!$B$23,0),'Tax Tables'!$B$25)*'Tax Tables'!$B$26))*Calculator!$B$11,Calculator!$B$12)</f>
        <v>12243.825</v>
      </c>
      <c r="Y482" s="11" t="n">
        <f aca="false">MAX(W482,0)-X482</f>
        <v>136801.175</v>
      </c>
      <c r="Z482" s="11" t="n">
        <f aca="false">MIN(IF(P482&gt;0,Calculator!$B$13,0)+T482+Calculator!$B$14,'Tax Tables'!$B$36)</f>
        <v>20200</v>
      </c>
      <c r="AA482" s="11" t="n">
        <f aca="false">MAX(P482-Z482,0)</f>
        <v>214300</v>
      </c>
      <c r="AB482" s="11" t="n">
        <f aca="false">SUMPRODUCT((AA482&gt;'Tax Tables'!$A$5:$A$17)*(AA482-'Tax Tables'!$A$5:$A$17)*'Tax Tables'!$C$5:$C$17)</f>
        <v>23867</v>
      </c>
      <c r="AC482" s="11" t="n">
        <f aca="false">IF(W482&lt;0,-1E+099,P482-T482-AB482+Y482+(T482+U482)*Calculator!$B$9)</f>
        <v>363754.175</v>
      </c>
    </row>
    <row r="483" customFormat="false" ht="15" hidden="false" customHeight="false" outlineLevel="0" collapsed="false">
      <c r="A483" s="11" t="n">
        <f aca="false">470*$B$3</f>
        <v>235000</v>
      </c>
      <c r="B483" s="11" t="n">
        <f aca="false">0</f>
        <v>0</v>
      </c>
      <c r="C483" s="11" t="n">
        <f aca="false">A483-B483</f>
        <v>235000</v>
      </c>
      <c r="D483" s="11" t="n">
        <f aca="false">IF(Calculator!$B$6="Yes",MIN(B483,'Tax Tables'!$B$31*'Tax Tables'!$B$32),0)</f>
        <v>0</v>
      </c>
      <c r="E483" s="11" t="n">
        <f aca="false">D483*Calculator!$B$7</f>
        <v>0</v>
      </c>
      <c r="F483" s="11" t="n">
        <f aca="false">D483*Calculator!$B$8</f>
        <v>0</v>
      </c>
      <c r="G483" s="11" t="n">
        <f aca="false">IF(B483&gt;0,'Tax Tables'!$B$32*MIN(MAX(B483/'Tax Tables'!$B$32*'Tax Tables'!$B$33,'Tax Tables'!$B$34),'Tax Tables'!$B$35),0)</f>
        <v>0</v>
      </c>
      <c r="H483" s="11" t="n">
        <f aca="false">Calculator!$B$5-A483-F483-G483</f>
        <v>165000</v>
      </c>
      <c r="I483" s="11" t="n">
        <f aca="false">'Tax Tables'!$B$22*(MAX(H483,0)-IF(Calculator!$B$10="Yes",MIN(MAX(H483,0),'Tax Tables'!$B$27)*'Tax Tables'!$B$28+MIN(MAX(MAX(H483,0)-'Tax Tables'!$B$27,0),'Tax Tables'!$B$29)*'Tax Tables'!$B$30,MIN(MAX(H483,0),'Tax Tables'!$B$23)*'Tax Tables'!$B$24+MIN(MAX(MAX(H483,0)-'Tax Tables'!$B$23,0),'Tax Tables'!$B$25)*'Tax Tables'!$B$26))*1-MIN('Tax Tables'!$B$22*(MAX(H483,0)-IF(Calculator!$B$10="Yes",MIN(MAX(H483,0),'Tax Tables'!$B$27)*'Tax Tables'!$B$28+MIN(MAX(MAX(H483,0)-'Tax Tables'!$B$27,0),'Tax Tables'!$B$29)*'Tax Tables'!$B$30,MIN(MAX(H483,0),'Tax Tables'!$B$23)*'Tax Tables'!$B$24+MIN(MAX(MAX(H483,0)-'Tax Tables'!$B$23,0),'Tax Tables'!$B$25)*'Tax Tables'!$B$26))*Calculator!$B$11,Calculator!$B$12)</f>
        <v>13600</v>
      </c>
      <c r="J483" s="11" t="n">
        <f aca="false">MAX(H483,0)-I483</f>
        <v>151400</v>
      </c>
      <c r="K483" s="11" t="n">
        <f aca="false">MIN(IF(A483&gt;0,Calculator!$B$13,0)+E483+Calculator!$B$14,'Tax Tables'!$B$36)</f>
        <v>1000</v>
      </c>
      <c r="L483" s="11" t="n">
        <f aca="false">MAX(A483-K483,0)</f>
        <v>234000</v>
      </c>
      <c r="M483" s="11" t="n">
        <f aca="false">SUMPRODUCT((L483&gt;'Tax Tables'!$A$5:$A$17)*(L483-'Tax Tables'!$A$5:$A$17)*'Tax Tables'!$C$5:$C$17)</f>
        <v>27610</v>
      </c>
      <c r="N483" s="11" t="n">
        <f aca="false">IF(H483&lt;0,-1E+099,A483-E483-M483+J483+(E483+F483)*Calculator!$B$9)</f>
        <v>358790</v>
      </c>
      <c r="O483" s="2"/>
      <c r="P483" s="11" t="n">
        <f aca="false">470*$B$3</f>
        <v>235000</v>
      </c>
      <c r="Q483" s="11" t="n">
        <f aca="false">MIN(P483,'Tax Tables'!$B$31*'Tax Tables'!$B$32)</f>
        <v>96000</v>
      </c>
      <c r="R483" s="11" t="n">
        <f aca="false">P483-Q483</f>
        <v>139000</v>
      </c>
      <c r="S483" s="11" t="n">
        <f aca="false">IF(Calculator!$B$6="Yes",MIN(Q483,'Tax Tables'!$B$31*'Tax Tables'!$B$32),0)</f>
        <v>96000</v>
      </c>
      <c r="T483" s="11" t="n">
        <f aca="false">S483*Calculator!$B$7</f>
        <v>19200</v>
      </c>
      <c r="U483" s="11" t="n">
        <f aca="false">S483*Calculator!$B$8</f>
        <v>16320</v>
      </c>
      <c r="V483" s="11" t="n">
        <f aca="false">IF(Q483&gt;0,'Tax Tables'!$B$32*MIN(MAX(Q483/'Tax Tables'!$B$32*'Tax Tables'!$B$33,'Tax Tables'!$B$34),'Tax Tables'!$B$35),0)</f>
        <v>135</v>
      </c>
      <c r="W483" s="11" t="n">
        <f aca="false">Calculator!$B$5-P483-U483-V483</f>
        <v>148545</v>
      </c>
      <c r="X483" s="11" t="n">
        <f aca="false">'Tax Tables'!$B$22*(MAX(W483,0)-IF(Calculator!$B$10="Yes",MIN(MAX(W483,0),'Tax Tables'!$B$27)*'Tax Tables'!$B$28+MIN(MAX(MAX(W483,0)-'Tax Tables'!$B$27,0),'Tax Tables'!$B$29)*'Tax Tables'!$B$30,MIN(MAX(W483,0),'Tax Tables'!$B$23)*'Tax Tables'!$B$24+MIN(MAX(MAX(W483,0)-'Tax Tables'!$B$23,0),'Tax Tables'!$B$25)*'Tax Tables'!$B$26))*1-MIN('Tax Tables'!$B$22*(MAX(W483,0)-IF(Calculator!$B$10="Yes",MIN(MAX(W483,0),'Tax Tables'!$B$27)*'Tax Tables'!$B$28+MIN(MAX(MAX(W483,0)-'Tax Tables'!$B$27,0),'Tax Tables'!$B$29)*'Tax Tables'!$B$30,MIN(MAX(W483,0),'Tax Tables'!$B$23)*'Tax Tables'!$B$24+MIN(MAX(MAX(W483,0)-'Tax Tables'!$B$23,0),'Tax Tables'!$B$25)*'Tax Tables'!$B$26))*Calculator!$B$11,Calculator!$B$12)</f>
        <v>12201.325</v>
      </c>
      <c r="Y483" s="11" t="n">
        <f aca="false">MAX(W483,0)-X483</f>
        <v>136343.675</v>
      </c>
      <c r="Z483" s="11" t="n">
        <f aca="false">MIN(IF(P483&gt;0,Calculator!$B$13,0)+T483+Calculator!$B$14,'Tax Tables'!$B$36)</f>
        <v>20200</v>
      </c>
      <c r="AA483" s="11" t="n">
        <f aca="false">MAX(P483-Z483,0)</f>
        <v>214800</v>
      </c>
      <c r="AB483" s="11" t="n">
        <f aca="false">SUMPRODUCT((AA483&gt;'Tax Tables'!$A$5:$A$17)*(AA483-'Tax Tables'!$A$5:$A$17)*'Tax Tables'!$C$5:$C$17)</f>
        <v>23962</v>
      </c>
      <c r="AC483" s="11" t="n">
        <f aca="false">IF(W483&lt;0,-1E+099,P483-T483-AB483+Y483+(T483+U483)*Calculator!$B$9)</f>
        <v>363701.675</v>
      </c>
    </row>
    <row r="484" customFormat="false" ht="15" hidden="false" customHeight="false" outlineLevel="0" collapsed="false">
      <c r="A484" s="11" t="n">
        <f aca="false">471*$B$3</f>
        <v>235500</v>
      </c>
      <c r="B484" s="11" t="n">
        <f aca="false">0</f>
        <v>0</v>
      </c>
      <c r="C484" s="11" t="n">
        <f aca="false">A484-B484</f>
        <v>235500</v>
      </c>
      <c r="D484" s="11" t="n">
        <f aca="false">IF(Calculator!$B$6="Yes",MIN(B484,'Tax Tables'!$B$31*'Tax Tables'!$B$32),0)</f>
        <v>0</v>
      </c>
      <c r="E484" s="11" t="n">
        <f aca="false">D484*Calculator!$B$7</f>
        <v>0</v>
      </c>
      <c r="F484" s="11" t="n">
        <f aca="false">D484*Calculator!$B$8</f>
        <v>0</v>
      </c>
      <c r="G484" s="11" t="n">
        <f aca="false">IF(B484&gt;0,'Tax Tables'!$B$32*MIN(MAX(B484/'Tax Tables'!$B$32*'Tax Tables'!$B$33,'Tax Tables'!$B$34),'Tax Tables'!$B$35),0)</f>
        <v>0</v>
      </c>
      <c r="H484" s="11" t="n">
        <f aca="false">Calculator!$B$5-A484-F484-G484</f>
        <v>164500</v>
      </c>
      <c r="I484" s="11" t="n">
        <f aca="false">'Tax Tables'!$B$22*(MAX(H484,0)-IF(Calculator!$B$10="Yes",MIN(MAX(H484,0),'Tax Tables'!$B$27)*'Tax Tables'!$B$28+MIN(MAX(MAX(H484,0)-'Tax Tables'!$B$27,0),'Tax Tables'!$B$29)*'Tax Tables'!$B$30,MIN(MAX(H484,0),'Tax Tables'!$B$23)*'Tax Tables'!$B$24+MIN(MAX(MAX(H484,0)-'Tax Tables'!$B$23,0),'Tax Tables'!$B$25)*'Tax Tables'!$B$26))*1-MIN('Tax Tables'!$B$22*(MAX(H484,0)-IF(Calculator!$B$10="Yes",MIN(MAX(H484,0),'Tax Tables'!$B$27)*'Tax Tables'!$B$28+MIN(MAX(MAX(H484,0)-'Tax Tables'!$B$27,0),'Tax Tables'!$B$29)*'Tax Tables'!$B$30,MIN(MAX(H484,0),'Tax Tables'!$B$23)*'Tax Tables'!$B$24+MIN(MAX(MAX(H484,0)-'Tax Tables'!$B$23,0),'Tax Tables'!$B$25)*'Tax Tables'!$B$26))*Calculator!$B$11,Calculator!$B$12)</f>
        <v>13557.5</v>
      </c>
      <c r="J484" s="11" t="n">
        <f aca="false">MAX(H484,0)-I484</f>
        <v>150942.5</v>
      </c>
      <c r="K484" s="11" t="n">
        <f aca="false">MIN(IF(A484&gt;0,Calculator!$B$13,0)+E484+Calculator!$B$14,'Tax Tables'!$B$36)</f>
        <v>1000</v>
      </c>
      <c r="L484" s="11" t="n">
        <f aca="false">MAX(A484-K484,0)</f>
        <v>234500</v>
      </c>
      <c r="M484" s="11" t="n">
        <f aca="false">SUMPRODUCT((L484&gt;'Tax Tables'!$A$5:$A$17)*(L484-'Tax Tables'!$A$5:$A$17)*'Tax Tables'!$C$5:$C$17)</f>
        <v>27705</v>
      </c>
      <c r="N484" s="11" t="n">
        <f aca="false">IF(H484&lt;0,-1E+099,A484-E484-M484+J484+(E484+F484)*Calculator!$B$9)</f>
        <v>358737.5</v>
      </c>
      <c r="O484" s="2"/>
      <c r="P484" s="11" t="n">
        <f aca="false">471*$B$3</f>
        <v>235500</v>
      </c>
      <c r="Q484" s="11" t="n">
        <f aca="false">MIN(P484,'Tax Tables'!$B$31*'Tax Tables'!$B$32)</f>
        <v>96000</v>
      </c>
      <c r="R484" s="11" t="n">
        <f aca="false">P484-Q484</f>
        <v>139500</v>
      </c>
      <c r="S484" s="11" t="n">
        <f aca="false">IF(Calculator!$B$6="Yes",MIN(Q484,'Tax Tables'!$B$31*'Tax Tables'!$B$32),0)</f>
        <v>96000</v>
      </c>
      <c r="T484" s="11" t="n">
        <f aca="false">S484*Calculator!$B$7</f>
        <v>19200</v>
      </c>
      <c r="U484" s="11" t="n">
        <f aca="false">S484*Calculator!$B$8</f>
        <v>16320</v>
      </c>
      <c r="V484" s="11" t="n">
        <f aca="false">IF(Q484&gt;0,'Tax Tables'!$B$32*MIN(MAX(Q484/'Tax Tables'!$B$32*'Tax Tables'!$B$33,'Tax Tables'!$B$34),'Tax Tables'!$B$35),0)</f>
        <v>135</v>
      </c>
      <c r="W484" s="11" t="n">
        <f aca="false">Calculator!$B$5-P484-U484-V484</f>
        <v>148045</v>
      </c>
      <c r="X484" s="11" t="n">
        <f aca="false">'Tax Tables'!$B$22*(MAX(W484,0)-IF(Calculator!$B$10="Yes",MIN(MAX(W484,0),'Tax Tables'!$B$27)*'Tax Tables'!$B$28+MIN(MAX(MAX(W484,0)-'Tax Tables'!$B$27,0),'Tax Tables'!$B$29)*'Tax Tables'!$B$30,MIN(MAX(W484,0),'Tax Tables'!$B$23)*'Tax Tables'!$B$24+MIN(MAX(MAX(W484,0)-'Tax Tables'!$B$23,0),'Tax Tables'!$B$25)*'Tax Tables'!$B$26))*1-MIN('Tax Tables'!$B$22*(MAX(W484,0)-IF(Calculator!$B$10="Yes",MIN(MAX(W484,0),'Tax Tables'!$B$27)*'Tax Tables'!$B$28+MIN(MAX(MAX(W484,0)-'Tax Tables'!$B$27,0),'Tax Tables'!$B$29)*'Tax Tables'!$B$30,MIN(MAX(W484,0),'Tax Tables'!$B$23)*'Tax Tables'!$B$24+MIN(MAX(MAX(W484,0)-'Tax Tables'!$B$23,0),'Tax Tables'!$B$25)*'Tax Tables'!$B$26))*Calculator!$B$11,Calculator!$B$12)</f>
        <v>12158.825</v>
      </c>
      <c r="Y484" s="11" t="n">
        <f aca="false">MAX(W484,0)-X484</f>
        <v>135886.175</v>
      </c>
      <c r="Z484" s="11" t="n">
        <f aca="false">MIN(IF(P484&gt;0,Calculator!$B$13,0)+T484+Calculator!$B$14,'Tax Tables'!$B$36)</f>
        <v>20200</v>
      </c>
      <c r="AA484" s="11" t="n">
        <f aca="false">MAX(P484-Z484,0)</f>
        <v>215300</v>
      </c>
      <c r="AB484" s="11" t="n">
        <f aca="false">SUMPRODUCT((AA484&gt;'Tax Tables'!$A$5:$A$17)*(AA484-'Tax Tables'!$A$5:$A$17)*'Tax Tables'!$C$5:$C$17)</f>
        <v>24057</v>
      </c>
      <c r="AC484" s="11" t="n">
        <f aca="false">IF(W484&lt;0,-1E+099,P484-T484-AB484+Y484+(T484+U484)*Calculator!$B$9)</f>
        <v>363649.175</v>
      </c>
    </row>
    <row r="485" customFormat="false" ht="15" hidden="false" customHeight="false" outlineLevel="0" collapsed="false">
      <c r="A485" s="11" t="n">
        <f aca="false">472*$B$3</f>
        <v>236000</v>
      </c>
      <c r="B485" s="11" t="n">
        <f aca="false">0</f>
        <v>0</v>
      </c>
      <c r="C485" s="11" t="n">
        <f aca="false">A485-B485</f>
        <v>236000</v>
      </c>
      <c r="D485" s="11" t="n">
        <f aca="false">IF(Calculator!$B$6="Yes",MIN(B485,'Tax Tables'!$B$31*'Tax Tables'!$B$32),0)</f>
        <v>0</v>
      </c>
      <c r="E485" s="11" t="n">
        <f aca="false">D485*Calculator!$B$7</f>
        <v>0</v>
      </c>
      <c r="F485" s="11" t="n">
        <f aca="false">D485*Calculator!$B$8</f>
        <v>0</v>
      </c>
      <c r="G485" s="11" t="n">
        <f aca="false">IF(B485&gt;0,'Tax Tables'!$B$32*MIN(MAX(B485/'Tax Tables'!$B$32*'Tax Tables'!$B$33,'Tax Tables'!$B$34),'Tax Tables'!$B$35),0)</f>
        <v>0</v>
      </c>
      <c r="H485" s="11" t="n">
        <f aca="false">Calculator!$B$5-A485-F485-G485</f>
        <v>164000</v>
      </c>
      <c r="I485" s="11" t="n">
        <f aca="false">'Tax Tables'!$B$22*(MAX(H485,0)-IF(Calculator!$B$10="Yes",MIN(MAX(H485,0),'Tax Tables'!$B$27)*'Tax Tables'!$B$28+MIN(MAX(MAX(H485,0)-'Tax Tables'!$B$27,0),'Tax Tables'!$B$29)*'Tax Tables'!$B$30,MIN(MAX(H485,0),'Tax Tables'!$B$23)*'Tax Tables'!$B$24+MIN(MAX(MAX(H485,0)-'Tax Tables'!$B$23,0),'Tax Tables'!$B$25)*'Tax Tables'!$B$26))*1-MIN('Tax Tables'!$B$22*(MAX(H485,0)-IF(Calculator!$B$10="Yes",MIN(MAX(H485,0),'Tax Tables'!$B$27)*'Tax Tables'!$B$28+MIN(MAX(MAX(H485,0)-'Tax Tables'!$B$27,0),'Tax Tables'!$B$29)*'Tax Tables'!$B$30,MIN(MAX(H485,0),'Tax Tables'!$B$23)*'Tax Tables'!$B$24+MIN(MAX(MAX(H485,0)-'Tax Tables'!$B$23,0),'Tax Tables'!$B$25)*'Tax Tables'!$B$26))*Calculator!$B$11,Calculator!$B$12)</f>
        <v>13515</v>
      </c>
      <c r="J485" s="11" t="n">
        <f aca="false">MAX(H485,0)-I485</f>
        <v>150485</v>
      </c>
      <c r="K485" s="11" t="n">
        <f aca="false">MIN(IF(A485&gt;0,Calculator!$B$13,0)+E485+Calculator!$B$14,'Tax Tables'!$B$36)</f>
        <v>1000</v>
      </c>
      <c r="L485" s="11" t="n">
        <f aca="false">MAX(A485-K485,0)</f>
        <v>235000</v>
      </c>
      <c r="M485" s="11" t="n">
        <f aca="false">SUMPRODUCT((L485&gt;'Tax Tables'!$A$5:$A$17)*(L485-'Tax Tables'!$A$5:$A$17)*'Tax Tables'!$C$5:$C$17)</f>
        <v>27800</v>
      </c>
      <c r="N485" s="11" t="n">
        <f aca="false">IF(H485&lt;0,-1E+099,A485-E485-M485+J485+(E485+F485)*Calculator!$B$9)</f>
        <v>358685</v>
      </c>
      <c r="O485" s="2"/>
      <c r="P485" s="11" t="n">
        <f aca="false">472*$B$3</f>
        <v>236000</v>
      </c>
      <c r="Q485" s="11" t="n">
        <f aca="false">MIN(P485,'Tax Tables'!$B$31*'Tax Tables'!$B$32)</f>
        <v>96000</v>
      </c>
      <c r="R485" s="11" t="n">
        <f aca="false">P485-Q485</f>
        <v>140000</v>
      </c>
      <c r="S485" s="11" t="n">
        <f aca="false">IF(Calculator!$B$6="Yes",MIN(Q485,'Tax Tables'!$B$31*'Tax Tables'!$B$32),0)</f>
        <v>96000</v>
      </c>
      <c r="T485" s="11" t="n">
        <f aca="false">S485*Calculator!$B$7</f>
        <v>19200</v>
      </c>
      <c r="U485" s="11" t="n">
        <f aca="false">S485*Calculator!$B$8</f>
        <v>16320</v>
      </c>
      <c r="V485" s="11" t="n">
        <f aca="false">IF(Q485&gt;0,'Tax Tables'!$B$32*MIN(MAX(Q485/'Tax Tables'!$B$32*'Tax Tables'!$B$33,'Tax Tables'!$B$34),'Tax Tables'!$B$35),0)</f>
        <v>135</v>
      </c>
      <c r="W485" s="11" t="n">
        <f aca="false">Calculator!$B$5-P485-U485-V485</f>
        <v>147545</v>
      </c>
      <c r="X485" s="11" t="n">
        <f aca="false">'Tax Tables'!$B$22*(MAX(W485,0)-IF(Calculator!$B$10="Yes",MIN(MAX(W485,0),'Tax Tables'!$B$27)*'Tax Tables'!$B$28+MIN(MAX(MAX(W485,0)-'Tax Tables'!$B$27,0),'Tax Tables'!$B$29)*'Tax Tables'!$B$30,MIN(MAX(W485,0),'Tax Tables'!$B$23)*'Tax Tables'!$B$24+MIN(MAX(MAX(W485,0)-'Tax Tables'!$B$23,0),'Tax Tables'!$B$25)*'Tax Tables'!$B$26))*1-MIN('Tax Tables'!$B$22*(MAX(W485,0)-IF(Calculator!$B$10="Yes",MIN(MAX(W485,0),'Tax Tables'!$B$27)*'Tax Tables'!$B$28+MIN(MAX(MAX(W485,0)-'Tax Tables'!$B$27,0),'Tax Tables'!$B$29)*'Tax Tables'!$B$30,MIN(MAX(W485,0),'Tax Tables'!$B$23)*'Tax Tables'!$B$24+MIN(MAX(MAX(W485,0)-'Tax Tables'!$B$23,0),'Tax Tables'!$B$25)*'Tax Tables'!$B$26))*Calculator!$B$11,Calculator!$B$12)</f>
        <v>12116.325</v>
      </c>
      <c r="Y485" s="11" t="n">
        <f aca="false">MAX(W485,0)-X485</f>
        <v>135428.675</v>
      </c>
      <c r="Z485" s="11" t="n">
        <f aca="false">MIN(IF(P485&gt;0,Calculator!$B$13,0)+T485+Calculator!$B$14,'Tax Tables'!$B$36)</f>
        <v>20200</v>
      </c>
      <c r="AA485" s="11" t="n">
        <f aca="false">MAX(P485-Z485,0)</f>
        <v>215800</v>
      </c>
      <c r="AB485" s="11" t="n">
        <f aca="false">SUMPRODUCT((AA485&gt;'Tax Tables'!$A$5:$A$17)*(AA485-'Tax Tables'!$A$5:$A$17)*'Tax Tables'!$C$5:$C$17)</f>
        <v>24152</v>
      </c>
      <c r="AC485" s="11" t="n">
        <f aca="false">IF(W485&lt;0,-1E+099,P485-T485-AB485+Y485+(T485+U485)*Calculator!$B$9)</f>
        <v>363596.675</v>
      </c>
    </row>
    <row r="486" customFormat="false" ht="15" hidden="false" customHeight="false" outlineLevel="0" collapsed="false">
      <c r="A486" s="11" t="n">
        <f aca="false">473*$B$3</f>
        <v>236500</v>
      </c>
      <c r="B486" s="11" t="n">
        <f aca="false">0</f>
        <v>0</v>
      </c>
      <c r="C486" s="11" t="n">
        <f aca="false">A486-B486</f>
        <v>236500</v>
      </c>
      <c r="D486" s="11" t="n">
        <f aca="false">IF(Calculator!$B$6="Yes",MIN(B486,'Tax Tables'!$B$31*'Tax Tables'!$B$32),0)</f>
        <v>0</v>
      </c>
      <c r="E486" s="11" t="n">
        <f aca="false">D486*Calculator!$B$7</f>
        <v>0</v>
      </c>
      <c r="F486" s="11" t="n">
        <f aca="false">D486*Calculator!$B$8</f>
        <v>0</v>
      </c>
      <c r="G486" s="11" t="n">
        <f aca="false">IF(B486&gt;0,'Tax Tables'!$B$32*MIN(MAX(B486/'Tax Tables'!$B$32*'Tax Tables'!$B$33,'Tax Tables'!$B$34),'Tax Tables'!$B$35),0)</f>
        <v>0</v>
      </c>
      <c r="H486" s="11" t="n">
        <f aca="false">Calculator!$B$5-A486-F486-G486</f>
        <v>163500</v>
      </c>
      <c r="I486" s="11" t="n">
        <f aca="false">'Tax Tables'!$B$22*(MAX(H486,0)-IF(Calculator!$B$10="Yes",MIN(MAX(H486,0),'Tax Tables'!$B$27)*'Tax Tables'!$B$28+MIN(MAX(MAX(H486,0)-'Tax Tables'!$B$27,0),'Tax Tables'!$B$29)*'Tax Tables'!$B$30,MIN(MAX(H486,0),'Tax Tables'!$B$23)*'Tax Tables'!$B$24+MIN(MAX(MAX(H486,0)-'Tax Tables'!$B$23,0),'Tax Tables'!$B$25)*'Tax Tables'!$B$26))*1-MIN('Tax Tables'!$B$22*(MAX(H486,0)-IF(Calculator!$B$10="Yes",MIN(MAX(H486,0),'Tax Tables'!$B$27)*'Tax Tables'!$B$28+MIN(MAX(MAX(H486,0)-'Tax Tables'!$B$27,0),'Tax Tables'!$B$29)*'Tax Tables'!$B$30,MIN(MAX(H486,0),'Tax Tables'!$B$23)*'Tax Tables'!$B$24+MIN(MAX(MAX(H486,0)-'Tax Tables'!$B$23,0),'Tax Tables'!$B$25)*'Tax Tables'!$B$26))*Calculator!$B$11,Calculator!$B$12)</f>
        <v>13472.5</v>
      </c>
      <c r="J486" s="11" t="n">
        <f aca="false">MAX(H486,0)-I486</f>
        <v>150027.5</v>
      </c>
      <c r="K486" s="11" t="n">
        <f aca="false">MIN(IF(A486&gt;0,Calculator!$B$13,0)+E486+Calculator!$B$14,'Tax Tables'!$B$36)</f>
        <v>1000</v>
      </c>
      <c r="L486" s="11" t="n">
        <f aca="false">MAX(A486-K486,0)</f>
        <v>235500</v>
      </c>
      <c r="M486" s="11" t="n">
        <f aca="false">SUMPRODUCT((L486&gt;'Tax Tables'!$A$5:$A$17)*(L486-'Tax Tables'!$A$5:$A$17)*'Tax Tables'!$C$5:$C$17)</f>
        <v>27895</v>
      </c>
      <c r="N486" s="11" t="n">
        <f aca="false">IF(H486&lt;0,-1E+099,A486-E486-M486+J486+(E486+F486)*Calculator!$B$9)</f>
        <v>358632.5</v>
      </c>
      <c r="O486" s="2"/>
      <c r="P486" s="11" t="n">
        <f aca="false">473*$B$3</f>
        <v>236500</v>
      </c>
      <c r="Q486" s="11" t="n">
        <f aca="false">MIN(P486,'Tax Tables'!$B$31*'Tax Tables'!$B$32)</f>
        <v>96000</v>
      </c>
      <c r="R486" s="11" t="n">
        <f aca="false">P486-Q486</f>
        <v>140500</v>
      </c>
      <c r="S486" s="11" t="n">
        <f aca="false">IF(Calculator!$B$6="Yes",MIN(Q486,'Tax Tables'!$B$31*'Tax Tables'!$B$32),0)</f>
        <v>96000</v>
      </c>
      <c r="T486" s="11" t="n">
        <f aca="false">S486*Calculator!$B$7</f>
        <v>19200</v>
      </c>
      <c r="U486" s="11" t="n">
        <f aca="false">S486*Calculator!$B$8</f>
        <v>16320</v>
      </c>
      <c r="V486" s="11" t="n">
        <f aca="false">IF(Q486&gt;0,'Tax Tables'!$B$32*MIN(MAX(Q486/'Tax Tables'!$B$32*'Tax Tables'!$B$33,'Tax Tables'!$B$34),'Tax Tables'!$B$35),0)</f>
        <v>135</v>
      </c>
      <c r="W486" s="11" t="n">
        <f aca="false">Calculator!$B$5-P486-U486-V486</f>
        <v>147045</v>
      </c>
      <c r="X486" s="11" t="n">
        <f aca="false">'Tax Tables'!$B$22*(MAX(W486,0)-IF(Calculator!$B$10="Yes",MIN(MAX(W486,0),'Tax Tables'!$B$27)*'Tax Tables'!$B$28+MIN(MAX(MAX(W486,0)-'Tax Tables'!$B$27,0),'Tax Tables'!$B$29)*'Tax Tables'!$B$30,MIN(MAX(W486,0),'Tax Tables'!$B$23)*'Tax Tables'!$B$24+MIN(MAX(MAX(W486,0)-'Tax Tables'!$B$23,0),'Tax Tables'!$B$25)*'Tax Tables'!$B$26))*1-MIN('Tax Tables'!$B$22*(MAX(W486,0)-IF(Calculator!$B$10="Yes",MIN(MAX(W486,0),'Tax Tables'!$B$27)*'Tax Tables'!$B$28+MIN(MAX(MAX(W486,0)-'Tax Tables'!$B$27,0),'Tax Tables'!$B$29)*'Tax Tables'!$B$30,MIN(MAX(W486,0),'Tax Tables'!$B$23)*'Tax Tables'!$B$24+MIN(MAX(MAX(W486,0)-'Tax Tables'!$B$23,0),'Tax Tables'!$B$25)*'Tax Tables'!$B$26))*Calculator!$B$11,Calculator!$B$12)</f>
        <v>12073.825</v>
      </c>
      <c r="Y486" s="11" t="n">
        <f aca="false">MAX(W486,0)-X486</f>
        <v>134971.175</v>
      </c>
      <c r="Z486" s="11" t="n">
        <f aca="false">MIN(IF(P486&gt;0,Calculator!$B$13,0)+T486+Calculator!$B$14,'Tax Tables'!$B$36)</f>
        <v>20200</v>
      </c>
      <c r="AA486" s="11" t="n">
        <f aca="false">MAX(P486-Z486,0)</f>
        <v>216300</v>
      </c>
      <c r="AB486" s="11" t="n">
        <f aca="false">SUMPRODUCT((AA486&gt;'Tax Tables'!$A$5:$A$17)*(AA486-'Tax Tables'!$A$5:$A$17)*'Tax Tables'!$C$5:$C$17)</f>
        <v>24247</v>
      </c>
      <c r="AC486" s="11" t="n">
        <f aca="false">IF(W486&lt;0,-1E+099,P486-T486-AB486+Y486+(T486+U486)*Calculator!$B$9)</f>
        <v>363544.175</v>
      </c>
    </row>
    <row r="487" customFormat="false" ht="15" hidden="false" customHeight="false" outlineLevel="0" collapsed="false">
      <c r="A487" s="11" t="n">
        <f aca="false">474*$B$3</f>
        <v>237000</v>
      </c>
      <c r="B487" s="11" t="n">
        <f aca="false">0</f>
        <v>0</v>
      </c>
      <c r="C487" s="11" t="n">
        <f aca="false">A487-B487</f>
        <v>237000</v>
      </c>
      <c r="D487" s="11" t="n">
        <f aca="false">IF(Calculator!$B$6="Yes",MIN(B487,'Tax Tables'!$B$31*'Tax Tables'!$B$32),0)</f>
        <v>0</v>
      </c>
      <c r="E487" s="11" t="n">
        <f aca="false">D487*Calculator!$B$7</f>
        <v>0</v>
      </c>
      <c r="F487" s="11" t="n">
        <f aca="false">D487*Calculator!$B$8</f>
        <v>0</v>
      </c>
      <c r="G487" s="11" t="n">
        <f aca="false">IF(B487&gt;0,'Tax Tables'!$B$32*MIN(MAX(B487/'Tax Tables'!$B$32*'Tax Tables'!$B$33,'Tax Tables'!$B$34),'Tax Tables'!$B$35),0)</f>
        <v>0</v>
      </c>
      <c r="H487" s="11" t="n">
        <f aca="false">Calculator!$B$5-A487-F487-G487</f>
        <v>163000</v>
      </c>
      <c r="I487" s="11" t="n">
        <f aca="false">'Tax Tables'!$B$22*(MAX(H487,0)-IF(Calculator!$B$10="Yes",MIN(MAX(H487,0),'Tax Tables'!$B$27)*'Tax Tables'!$B$28+MIN(MAX(MAX(H487,0)-'Tax Tables'!$B$27,0),'Tax Tables'!$B$29)*'Tax Tables'!$B$30,MIN(MAX(H487,0),'Tax Tables'!$B$23)*'Tax Tables'!$B$24+MIN(MAX(MAX(H487,0)-'Tax Tables'!$B$23,0),'Tax Tables'!$B$25)*'Tax Tables'!$B$26))*1-MIN('Tax Tables'!$B$22*(MAX(H487,0)-IF(Calculator!$B$10="Yes",MIN(MAX(H487,0),'Tax Tables'!$B$27)*'Tax Tables'!$B$28+MIN(MAX(MAX(H487,0)-'Tax Tables'!$B$27,0),'Tax Tables'!$B$29)*'Tax Tables'!$B$30,MIN(MAX(H487,0),'Tax Tables'!$B$23)*'Tax Tables'!$B$24+MIN(MAX(MAX(H487,0)-'Tax Tables'!$B$23,0),'Tax Tables'!$B$25)*'Tax Tables'!$B$26))*Calculator!$B$11,Calculator!$B$12)</f>
        <v>13430</v>
      </c>
      <c r="J487" s="11" t="n">
        <f aca="false">MAX(H487,0)-I487</f>
        <v>149570</v>
      </c>
      <c r="K487" s="11" t="n">
        <f aca="false">MIN(IF(A487&gt;0,Calculator!$B$13,0)+E487+Calculator!$B$14,'Tax Tables'!$B$36)</f>
        <v>1000</v>
      </c>
      <c r="L487" s="11" t="n">
        <f aca="false">MAX(A487-K487,0)</f>
        <v>236000</v>
      </c>
      <c r="M487" s="11" t="n">
        <f aca="false">SUMPRODUCT((L487&gt;'Tax Tables'!$A$5:$A$17)*(L487-'Tax Tables'!$A$5:$A$17)*'Tax Tables'!$C$5:$C$17)</f>
        <v>27990</v>
      </c>
      <c r="N487" s="11" t="n">
        <f aca="false">IF(H487&lt;0,-1E+099,A487-E487-M487+J487+(E487+F487)*Calculator!$B$9)</f>
        <v>358580</v>
      </c>
      <c r="O487" s="2"/>
      <c r="P487" s="11" t="n">
        <f aca="false">474*$B$3</f>
        <v>237000</v>
      </c>
      <c r="Q487" s="11" t="n">
        <f aca="false">MIN(P487,'Tax Tables'!$B$31*'Tax Tables'!$B$32)</f>
        <v>96000</v>
      </c>
      <c r="R487" s="11" t="n">
        <f aca="false">P487-Q487</f>
        <v>141000</v>
      </c>
      <c r="S487" s="11" t="n">
        <f aca="false">IF(Calculator!$B$6="Yes",MIN(Q487,'Tax Tables'!$B$31*'Tax Tables'!$B$32),0)</f>
        <v>96000</v>
      </c>
      <c r="T487" s="11" t="n">
        <f aca="false">S487*Calculator!$B$7</f>
        <v>19200</v>
      </c>
      <c r="U487" s="11" t="n">
        <f aca="false">S487*Calculator!$B$8</f>
        <v>16320</v>
      </c>
      <c r="V487" s="11" t="n">
        <f aca="false">IF(Q487&gt;0,'Tax Tables'!$B$32*MIN(MAX(Q487/'Tax Tables'!$B$32*'Tax Tables'!$B$33,'Tax Tables'!$B$34),'Tax Tables'!$B$35),0)</f>
        <v>135</v>
      </c>
      <c r="W487" s="11" t="n">
        <f aca="false">Calculator!$B$5-P487-U487-V487</f>
        <v>146545</v>
      </c>
      <c r="X487" s="11" t="n">
        <f aca="false">'Tax Tables'!$B$22*(MAX(W487,0)-IF(Calculator!$B$10="Yes",MIN(MAX(W487,0),'Tax Tables'!$B$27)*'Tax Tables'!$B$28+MIN(MAX(MAX(W487,0)-'Tax Tables'!$B$27,0),'Tax Tables'!$B$29)*'Tax Tables'!$B$30,MIN(MAX(W487,0),'Tax Tables'!$B$23)*'Tax Tables'!$B$24+MIN(MAX(MAX(W487,0)-'Tax Tables'!$B$23,0),'Tax Tables'!$B$25)*'Tax Tables'!$B$26))*1-MIN('Tax Tables'!$B$22*(MAX(W487,0)-IF(Calculator!$B$10="Yes",MIN(MAX(W487,0),'Tax Tables'!$B$27)*'Tax Tables'!$B$28+MIN(MAX(MAX(W487,0)-'Tax Tables'!$B$27,0),'Tax Tables'!$B$29)*'Tax Tables'!$B$30,MIN(MAX(W487,0),'Tax Tables'!$B$23)*'Tax Tables'!$B$24+MIN(MAX(MAX(W487,0)-'Tax Tables'!$B$23,0),'Tax Tables'!$B$25)*'Tax Tables'!$B$26))*Calculator!$B$11,Calculator!$B$12)</f>
        <v>12031.325</v>
      </c>
      <c r="Y487" s="11" t="n">
        <f aca="false">MAX(W487,0)-X487</f>
        <v>134513.675</v>
      </c>
      <c r="Z487" s="11" t="n">
        <f aca="false">MIN(IF(P487&gt;0,Calculator!$B$13,0)+T487+Calculator!$B$14,'Tax Tables'!$B$36)</f>
        <v>20200</v>
      </c>
      <c r="AA487" s="11" t="n">
        <f aca="false">MAX(P487-Z487,0)</f>
        <v>216800</v>
      </c>
      <c r="AB487" s="11" t="n">
        <f aca="false">SUMPRODUCT((AA487&gt;'Tax Tables'!$A$5:$A$17)*(AA487-'Tax Tables'!$A$5:$A$17)*'Tax Tables'!$C$5:$C$17)</f>
        <v>24342</v>
      </c>
      <c r="AC487" s="11" t="n">
        <f aca="false">IF(W487&lt;0,-1E+099,P487-T487-AB487+Y487+(T487+U487)*Calculator!$B$9)</f>
        <v>363491.675</v>
      </c>
    </row>
    <row r="488" customFormat="false" ht="15" hidden="false" customHeight="false" outlineLevel="0" collapsed="false">
      <c r="A488" s="11" t="n">
        <f aca="false">475*$B$3</f>
        <v>237500</v>
      </c>
      <c r="B488" s="11" t="n">
        <f aca="false">0</f>
        <v>0</v>
      </c>
      <c r="C488" s="11" t="n">
        <f aca="false">A488-B488</f>
        <v>237500</v>
      </c>
      <c r="D488" s="11" t="n">
        <f aca="false">IF(Calculator!$B$6="Yes",MIN(B488,'Tax Tables'!$B$31*'Tax Tables'!$B$32),0)</f>
        <v>0</v>
      </c>
      <c r="E488" s="11" t="n">
        <f aca="false">D488*Calculator!$B$7</f>
        <v>0</v>
      </c>
      <c r="F488" s="11" t="n">
        <f aca="false">D488*Calculator!$B$8</f>
        <v>0</v>
      </c>
      <c r="G488" s="11" t="n">
        <f aca="false">IF(B488&gt;0,'Tax Tables'!$B$32*MIN(MAX(B488/'Tax Tables'!$B$32*'Tax Tables'!$B$33,'Tax Tables'!$B$34),'Tax Tables'!$B$35),0)</f>
        <v>0</v>
      </c>
      <c r="H488" s="11" t="n">
        <f aca="false">Calculator!$B$5-A488-F488-G488</f>
        <v>162500</v>
      </c>
      <c r="I488" s="11" t="n">
        <f aca="false">'Tax Tables'!$B$22*(MAX(H488,0)-IF(Calculator!$B$10="Yes",MIN(MAX(H488,0),'Tax Tables'!$B$27)*'Tax Tables'!$B$28+MIN(MAX(MAX(H488,0)-'Tax Tables'!$B$27,0),'Tax Tables'!$B$29)*'Tax Tables'!$B$30,MIN(MAX(H488,0),'Tax Tables'!$B$23)*'Tax Tables'!$B$24+MIN(MAX(MAX(H488,0)-'Tax Tables'!$B$23,0),'Tax Tables'!$B$25)*'Tax Tables'!$B$26))*1-MIN('Tax Tables'!$B$22*(MAX(H488,0)-IF(Calculator!$B$10="Yes",MIN(MAX(H488,0),'Tax Tables'!$B$27)*'Tax Tables'!$B$28+MIN(MAX(MAX(H488,0)-'Tax Tables'!$B$27,0),'Tax Tables'!$B$29)*'Tax Tables'!$B$30,MIN(MAX(H488,0),'Tax Tables'!$B$23)*'Tax Tables'!$B$24+MIN(MAX(MAX(H488,0)-'Tax Tables'!$B$23,0),'Tax Tables'!$B$25)*'Tax Tables'!$B$26))*Calculator!$B$11,Calculator!$B$12)</f>
        <v>13387.5</v>
      </c>
      <c r="J488" s="11" t="n">
        <f aca="false">MAX(H488,0)-I488</f>
        <v>149112.5</v>
      </c>
      <c r="K488" s="11" t="n">
        <f aca="false">MIN(IF(A488&gt;0,Calculator!$B$13,0)+E488+Calculator!$B$14,'Tax Tables'!$B$36)</f>
        <v>1000</v>
      </c>
      <c r="L488" s="11" t="n">
        <f aca="false">MAX(A488-K488,0)</f>
        <v>236500</v>
      </c>
      <c r="M488" s="11" t="n">
        <f aca="false">SUMPRODUCT((L488&gt;'Tax Tables'!$A$5:$A$17)*(L488-'Tax Tables'!$A$5:$A$17)*'Tax Tables'!$C$5:$C$17)</f>
        <v>28085</v>
      </c>
      <c r="N488" s="11" t="n">
        <f aca="false">IF(H488&lt;0,-1E+099,A488-E488-M488+J488+(E488+F488)*Calculator!$B$9)</f>
        <v>358527.5</v>
      </c>
      <c r="O488" s="2"/>
      <c r="P488" s="11" t="n">
        <f aca="false">475*$B$3</f>
        <v>237500</v>
      </c>
      <c r="Q488" s="11" t="n">
        <f aca="false">MIN(P488,'Tax Tables'!$B$31*'Tax Tables'!$B$32)</f>
        <v>96000</v>
      </c>
      <c r="R488" s="11" t="n">
        <f aca="false">P488-Q488</f>
        <v>141500</v>
      </c>
      <c r="S488" s="11" t="n">
        <f aca="false">IF(Calculator!$B$6="Yes",MIN(Q488,'Tax Tables'!$B$31*'Tax Tables'!$B$32),0)</f>
        <v>96000</v>
      </c>
      <c r="T488" s="11" t="n">
        <f aca="false">S488*Calculator!$B$7</f>
        <v>19200</v>
      </c>
      <c r="U488" s="11" t="n">
        <f aca="false">S488*Calculator!$B$8</f>
        <v>16320</v>
      </c>
      <c r="V488" s="11" t="n">
        <f aca="false">IF(Q488&gt;0,'Tax Tables'!$B$32*MIN(MAX(Q488/'Tax Tables'!$B$32*'Tax Tables'!$B$33,'Tax Tables'!$B$34),'Tax Tables'!$B$35),0)</f>
        <v>135</v>
      </c>
      <c r="W488" s="11" t="n">
        <f aca="false">Calculator!$B$5-P488-U488-V488</f>
        <v>146045</v>
      </c>
      <c r="X488" s="11" t="n">
        <f aca="false">'Tax Tables'!$B$22*(MAX(W488,0)-IF(Calculator!$B$10="Yes",MIN(MAX(W488,0),'Tax Tables'!$B$27)*'Tax Tables'!$B$28+MIN(MAX(MAX(W488,0)-'Tax Tables'!$B$27,0),'Tax Tables'!$B$29)*'Tax Tables'!$B$30,MIN(MAX(W488,0),'Tax Tables'!$B$23)*'Tax Tables'!$B$24+MIN(MAX(MAX(W488,0)-'Tax Tables'!$B$23,0),'Tax Tables'!$B$25)*'Tax Tables'!$B$26))*1-MIN('Tax Tables'!$B$22*(MAX(W488,0)-IF(Calculator!$B$10="Yes",MIN(MAX(W488,0),'Tax Tables'!$B$27)*'Tax Tables'!$B$28+MIN(MAX(MAX(W488,0)-'Tax Tables'!$B$27,0),'Tax Tables'!$B$29)*'Tax Tables'!$B$30,MIN(MAX(W488,0),'Tax Tables'!$B$23)*'Tax Tables'!$B$24+MIN(MAX(MAX(W488,0)-'Tax Tables'!$B$23,0),'Tax Tables'!$B$25)*'Tax Tables'!$B$26))*Calculator!$B$11,Calculator!$B$12)</f>
        <v>11988.825</v>
      </c>
      <c r="Y488" s="11" t="n">
        <f aca="false">MAX(W488,0)-X488</f>
        <v>134056.175</v>
      </c>
      <c r="Z488" s="11" t="n">
        <f aca="false">MIN(IF(P488&gt;0,Calculator!$B$13,0)+T488+Calculator!$B$14,'Tax Tables'!$B$36)</f>
        <v>20200</v>
      </c>
      <c r="AA488" s="11" t="n">
        <f aca="false">MAX(P488-Z488,0)</f>
        <v>217300</v>
      </c>
      <c r="AB488" s="11" t="n">
        <f aca="false">SUMPRODUCT((AA488&gt;'Tax Tables'!$A$5:$A$17)*(AA488-'Tax Tables'!$A$5:$A$17)*'Tax Tables'!$C$5:$C$17)</f>
        <v>24437</v>
      </c>
      <c r="AC488" s="11" t="n">
        <f aca="false">IF(W488&lt;0,-1E+099,P488-T488-AB488+Y488+(T488+U488)*Calculator!$B$9)</f>
        <v>363439.175</v>
      </c>
    </row>
    <row r="489" customFormat="false" ht="15" hidden="false" customHeight="false" outlineLevel="0" collapsed="false">
      <c r="A489" s="11" t="n">
        <f aca="false">476*$B$3</f>
        <v>238000</v>
      </c>
      <c r="B489" s="11" t="n">
        <f aca="false">0</f>
        <v>0</v>
      </c>
      <c r="C489" s="11" t="n">
        <f aca="false">A489-B489</f>
        <v>238000</v>
      </c>
      <c r="D489" s="11" t="n">
        <f aca="false">IF(Calculator!$B$6="Yes",MIN(B489,'Tax Tables'!$B$31*'Tax Tables'!$B$32),0)</f>
        <v>0</v>
      </c>
      <c r="E489" s="11" t="n">
        <f aca="false">D489*Calculator!$B$7</f>
        <v>0</v>
      </c>
      <c r="F489" s="11" t="n">
        <f aca="false">D489*Calculator!$B$8</f>
        <v>0</v>
      </c>
      <c r="G489" s="11" t="n">
        <f aca="false">IF(B489&gt;0,'Tax Tables'!$B$32*MIN(MAX(B489/'Tax Tables'!$B$32*'Tax Tables'!$B$33,'Tax Tables'!$B$34),'Tax Tables'!$B$35),0)</f>
        <v>0</v>
      </c>
      <c r="H489" s="11" t="n">
        <f aca="false">Calculator!$B$5-A489-F489-G489</f>
        <v>162000</v>
      </c>
      <c r="I489" s="11" t="n">
        <f aca="false">'Tax Tables'!$B$22*(MAX(H489,0)-IF(Calculator!$B$10="Yes",MIN(MAX(H489,0),'Tax Tables'!$B$27)*'Tax Tables'!$B$28+MIN(MAX(MAX(H489,0)-'Tax Tables'!$B$27,0),'Tax Tables'!$B$29)*'Tax Tables'!$B$30,MIN(MAX(H489,0),'Tax Tables'!$B$23)*'Tax Tables'!$B$24+MIN(MAX(MAX(H489,0)-'Tax Tables'!$B$23,0),'Tax Tables'!$B$25)*'Tax Tables'!$B$26))*1-MIN('Tax Tables'!$B$22*(MAX(H489,0)-IF(Calculator!$B$10="Yes",MIN(MAX(H489,0),'Tax Tables'!$B$27)*'Tax Tables'!$B$28+MIN(MAX(MAX(H489,0)-'Tax Tables'!$B$27,0),'Tax Tables'!$B$29)*'Tax Tables'!$B$30,MIN(MAX(H489,0),'Tax Tables'!$B$23)*'Tax Tables'!$B$24+MIN(MAX(MAX(H489,0)-'Tax Tables'!$B$23,0),'Tax Tables'!$B$25)*'Tax Tables'!$B$26))*Calculator!$B$11,Calculator!$B$12)</f>
        <v>13345</v>
      </c>
      <c r="J489" s="11" t="n">
        <f aca="false">MAX(H489,0)-I489</f>
        <v>148655</v>
      </c>
      <c r="K489" s="11" t="n">
        <f aca="false">MIN(IF(A489&gt;0,Calculator!$B$13,0)+E489+Calculator!$B$14,'Tax Tables'!$B$36)</f>
        <v>1000</v>
      </c>
      <c r="L489" s="11" t="n">
        <f aca="false">MAX(A489-K489,0)</f>
        <v>237000</v>
      </c>
      <c r="M489" s="11" t="n">
        <f aca="false">SUMPRODUCT((L489&gt;'Tax Tables'!$A$5:$A$17)*(L489-'Tax Tables'!$A$5:$A$17)*'Tax Tables'!$C$5:$C$17)</f>
        <v>28180</v>
      </c>
      <c r="N489" s="11" t="n">
        <f aca="false">IF(H489&lt;0,-1E+099,A489-E489-M489+J489+(E489+F489)*Calculator!$B$9)</f>
        <v>358475</v>
      </c>
      <c r="O489" s="2"/>
      <c r="P489" s="11" t="n">
        <f aca="false">476*$B$3</f>
        <v>238000</v>
      </c>
      <c r="Q489" s="11" t="n">
        <f aca="false">MIN(P489,'Tax Tables'!$B$31*'Tax Tables'!$B$32)</f>
        <v>96000</v>
      </c>
      <c r="R489" s="11" t="n">
        <f aca="false">P489-Q489</f>
        <v>142000</v>
      </c>
      <c r="S489" s="11" t="n">
        <f aca="false">IF(Calculator!$B$6="Yes",MIN(Q489,'Tax Tables'!$B$31*'Tax Tables'!$B$32),0)</f>
        <v>96000</v>
      </c>
      <c r="T489" s="11" t="n">
        <f aca="false">S489*Calculator!$B$7</f>
        <v>19200</v>
      </c>
      <c r="U489" s="11" t="n">
        <f aca="false">S489*Calculator!$B$8</f>
        <v>16320</v>
      </c>
      <c r="V489" s="11" t="n">
        <f aca="false">IF(Q489&gt;0,'Tax Tables'!$B$32*MIN(MAX(Q489/'Tax Tables'!$B$32*'Tax Tables'!$B$33,'Tax Tables'!$B$34),'Tax Tables'!$B$35),0)</f>
        <v>135</v>
      </c>
      <c r="W489" s="11" t="n">
        <f aca="false">Calculator!$B$5-P489-U489-V489</f>
        <v>145545</v>
      </c>
      <c r="X489" s="11" t="n">
        <f aca="false">'Tax Tables'!$B$22*(MAX(W489,0)-IF(Calculator!$B$10="Yes",MIN(MAX(W489,0),'Tax Tables'!$B$27)*'Tax Tables'!$B$28+MIN(MAX(MAX(W489,0)-'Tax Tables'!$B$27,0),'Tax Tables'!$B$29)*'Tax Tables'!$B$30,MIN(MAX(W489,0),'Tax Tables'!$B$23)*'Tax Tables'!$B$24+MIN(MAX(MAX(W489,0)-'Tax Tables'!$B$23,0),'Tax Tables'!$B$25)*'Tax Tables'!$B$26))*1-MIN('Tax Tables'!$B$22*(MAX(W489,0)-IF(Calculator!$B$10="Yes",MIN(MAX(W489,0),'Tax Tables'!$B$27)*'Tax Tables'!$B$28+MIN(MAX(MAX(W489,0)-'Tax Tables'!$B$27,0),'Tax Tables'!$B$29)*'Tax Tables'!$B$30,MIN(MAX(W489,0),'Tax Tables'!$B$23)*'Tax Tables'!$B$24+MIN(MAX(MAX(W489,0)-'Tax Tables'!$B$23,0),'Tax Tables'!$B$25)*'Tax Tables'!$B$26))*Calculator!$B$11,Calculator!$B$12)</f>
        <v>11946.325</v>
      </c>
      <c r="Y489" s="11" t="n">
        <f aca="false">MAX(W489,0)-X489</f>
        <v>133598.675</v>
      </c>
      <c r="Z489" s="11" t="n">
        <f aca="false">MIN(IF(P489&gt;0,Calculator!$B$13,0)+T489+Calculator!$B$14,'Tax Tables'!$B$36)</f>
        <v>20200</v>
      </c>
      <c r="AA489" s="11" t="n">
        <f aca="false">MAX(P489-Z489,0)</f>
        <v>217800</v>
      </c>
      <c r="AB489" s="11" t="n">
        <f aca="false">SUMPRODUCT((AA489&gt;'Tax Tables'!$A$5:$A$17)*(AA489-'Tax Tables'!$A$5:$A$17)*'Tax Tables'!$C$5:$C$17)</f>
        <v>24532</v>
      </c>
      <c r="AC489" s="11" t="n">
        <f aca="false">IF(W489&lt;0,-1E+099,P489-T489-AB489+Y489+(T489+U489)*Calculator!$B$9)</f>
        <v>363386.675</v>
      </c>
    </row>
    <row r="490" customFormat="false" ht="15" hidden="false" customHeight="false" outlineLevel="0" collapsed="false">
      <c r="A490" s="11" t="n">
        <f aca="false">477*$B$3</f>
        <v>238500</v>
      </c>
      <c r="B490" s="11" t="n">
        <f aca="false">0</f>
        <v>0</v>
      </c>
      <c r="C490" s="11" t="n">
        <f aca="false">A490-B490</f>
        <v>238500</v>
      </c>
      <c r="D490" s="11" t="n">
        <f aca="false">IF(Calculator!$B$6="Yes",MIN(B490,'Tax Tables'!$B$31*'Tax Tables'!$B$32),0)</f>
        <v>0</v>
      </c>
      <c r="E490" s="11" t="n">
        <f aca="false">D490*Calculator!$B$7</f>
        <v>0</v>
      </c>
      <c r="F490" s="11" t="n">
        <f aca="false">D490*Calculator!$B$8</f>
        <v>0</v>
      </c>
      <c r="G490" s="11" t="n">
        <f aca="false">IF(B490&gt;0,'Tax Tables'!$B$32*MIN(MAX(B490/'Tax Tables'!$B$32*'Tax Tables'!$B$33,'Tax Tables'!$B$34),'Tax Tables'!$B$35),0)</f>
        <v>0</v>
      </c>
      <c r="H490" s="11" t="n">
        <f aca="false">Calculator!$B$5-A490-F490-G490</f>
        <v>161500</v>
      </c>
      <c r="I490" s="11" t="n">
        <f aca="false">'Tax Tables'!$B$22*(MAX(H490,0)-IF(Calculator!$B$10="Yes",MIN(MAX(H490,0),'Tax Tables'!$B$27)*'Tax Tables'!$B$28+MIN(MAX(MAX(H490,0)-'Tax Tables'!$B$27,0),'Tax Tables'!$B$29)*'Tax Tables'!$B$30,MIN(MAX(H490,0),'Tax Tables'!$B$23)*'Tax Tables'!$B$24+MIN(MAX(MAX(H490,0)-'Tax Tables'!$B$23,0),'Tax Tables'!$B$25)*'Tax Tables'!$B$26))*1-MIN('Tax Tables'!$B$22*(MAX(H490,0)-IF(Calculator!$B$10="Yes",MIN(MAX(H490,0),'Tax Tables'!$B$27)*'Tax Tables'!$B$28+MIN(MAX(MAX(H490,0)-'Tax Tables'!$B$27,0),'Tax Tables'!$B$29)*'Tax Tables'!$B$30,MIN(MAX(H490,0),'Tax Tables'!$B$23)*'Tax Tables'!$B$24+MIN(MAX(MAX(H490,0)-'Tax Tables'!$B$23,0),'Tax Tables'!$B$25)*'Tax Tables'!$B$26))*Calculator!$B$11,Calculator!$B$12)</f>
        <v>13302.5</v>
      </c>
      <c r="J490" s="11" t="n">
        <f aca="false">MAX(H490,0)-I490</f>
        <v>148197.5</v>
      </c>
      <c r="K490" s="11" t="n">
        <f aca="false">MIN(IF(A490&gt;0,Calculator!$B$13,0)+E490+Calculator!$B$14,'Tax Tables'!$B$36)</f>
        <v>1000</v>
      </c>
      <c r="L490" s="11" t="n">
        <f aca="false">MAX(A490-K490,0)</f>
        <v>237500</v>
      </c>
      <c r="M490" s="11" t="n">
        <f aca="false">SUMPRODUCT((L490&gt;'Tax Tables'!$A$5:$A$17)*(L490-'Tax Tables'!$A$5:$A$17)*'Tax Tables'!$C$5:$C$17)</f>
        <v>28275</v>
      </c>
      <c r="N490" s="11" t="n">
        <f aca="false">IF(H490&lt;0,-1E+099,A490-E490-M490+J490+(E490+F490)*Calculator!$B$9)</f>
        <v>358422.5</v>
      </c>
      <c r="O490" s="2"/>
      <c r="P490" s="11" t="n">
        <f aca="false">477*$B$3</f>
        <v>238500</v>
      </c>
      <c r="Q490" s="11" t="n">
        <f aca="false">MIN(P490,'Tax Tables'!$B$31*'Tax Tables'!$B$32)</f>
        <v>96000</v>
      </c>
      <c r="R490" s="11" t="n">
        <f aca="false">P490-Q490</f>
        <v>142500</v>
      </c>
      <c r="S490" s="11" t="n">
        <f aca="false">IF(Calculator!$B$6="Yes",MIN(Q490,'Tax Tables'!$B$31*'Tax Tables'!$B$32),0)</f>
        <v>96000</v>
      </c>
      <c r="T490" s="11" t="n">
        <f aca="false">S490*Calculator!$B$7</f>
        <v>19200</v>
      </c>
      <c r="U490" s="11" t="n">
        <f aca="false">S490*Calculator!$B$8</f>
        <v>16320</v>
      </c>
      <c r="V490" s="11" t="n">
        <f aca="false">IF(Q490&gt;0,'Tax Tables'!$B$32*MIN(MAX(Q490/'Tax Tables'!$B$32*'Tax Tables'!$B$33,'Tax Tables'!$B$34),'Tax Tables'!$B$35),0)</f>
        <v>135</v>
      </c>
      <c r="W490" s="11" t="n">
        <f aca="false">Calculator!$B$5-P490-U490-V490</f>
        <v>145045</v>
      </c>
      <c r="X490" s="11" t="n">
        <f aca="false">'Tax Tables'!$B$22*(MAX(W490,0)-IF(Calculator!$B$10="Yes",MIN(MAX(W490,0),'Tax Tables'!$B$27)*'Tax Tables'!$B$28+MIN(MAX(MAX(W490,0)-'Tax Tables'!$B$27,0),'Tax Tables'!$B$29)*'Tax Tables'!$B$30,MIN(MAX(W490,0),'Tax Tables'!$B$23)*'Tax Tables'!$B$24+MIN(MAX(MAX(W490,0)-'Tax Tables'!$B$23,0),'Tax Tables'!$B$25)*'Tax Tables'!$B$26))*1-MIN('Tax Tables'!$B$22*(MAX(W490,0)-IF(Calculator!$B$10="Yes",MIN(MAX(W490,0),'Tax Tables'!$B$27)*'Tax Tables'!$B$28+MIN(MAX(MAX(W490,0)-'Tax Tables'!$B$27,0),'Tax Tables'!$B$29)*'Tax Tables'!$B$30,MIN(MAX(W490,0),'Tax Tables'!$B$23)*'Tax Tables'!$B$24+MIN(MAX(MAX(W490,0)-'Tax Tables'!$B$23,0),'Tax Tables'!$B$25)*'Tax Tables'!$B$26))*Calculator!$B$11,Calculator!$B$12)</f>
        <v>11903.825</v>
      </c>
      <c r="Y490" s="11" t="n">
        <f aca="false">MAX(W490,0)-X490</f>
        <v>133141.175</v>
      </c>
      <c r="Z490" s="11" t="n">
        <f aca="false">MIN(IF(P490&gt;0,Calculator!$B$13,0)+T490+Calculator!$B$14,'Tax Tables'!$B$36)</f>
        <v>20200</v>
      </c>
      <c r="AA490" s="11" t="n">
        <f aca="false">MAX(P490-Z490,0)</f>
        <v>218300</v>
      </c>
      <c r="AB490" s="11" t="n">
        <f aca="false">SUMPRODUCT((AA490&gt;'Tax Tables'!$A$5:$A$17)*(AA490-'Tax Tables'!$A$5:$A$17)*'Tax Tables'!$C$5:$C$17)</f>
        <v>24627</v>
      </c>
      <c r="AC490" s="11" t="n">
        <f aca="false">IF(W490&lt;0,-1E+099,P490-T490-AB490+Y490+(T490+U490)*Calculator!$B$9)</f>
        <v>363334.175</v>
      </c>
    </row>
    <row r="491" customFormat="false" ht="15" hidden="false" customHeight="false" outlineLevel="0" collapsed="false">
      <c r="A491" s="11" t="n">
        <f aca="false">478*$B$3</f>
        <v>239000</v>
      </c>
      <c r="B491" s="11" t="n">
        <f aca="false">0</f>
        <v>0</v>
      </c>
      <c r="C491" s="11" t="n">
        <f aca="false">A491-B491</f>
        <v>239000</v>
      </c>
      <c r="D491" s="11" t="n">
        <f aca="false">IF(Calculator!$B$6="Yes",MIN(B491,'Tax Tables'!$B$31*'Tax Tables'!$B$32),0)</f>
        <v>0</v>
      </c>
      <c r="E491" s="11" t="n">
        <f aca="false">D491*Calculator!$B$7</f>
        <v>0</v>
      </c>
      <c r="F491" s="11" t="n">
        <f aca="false">D491*Calculator!$B$8</f>
        <v>0</v>
      </c>
      <c r="G491" s="11" t="n">
        <f aca="false">IF(B491&gt;0,'Tax Tables'!$B$32*MIN(MAX(B491/'Tax Tables'!$B$32*'Tax Tables'!$B$33,'Tax Tables'!$B$34),'Tax Tables'!$B$35),0)</f>
        <v>0</v>
      </c>
      <c r="H491" s="11" t="n">
        <f aca="false">Calculator!$B$5-A491-F491-G491</f>
        <v>161000</v>
      </c>
      <c r="I491" s="11" t="n">
        <f aca="false">'Tax Tables'!$B$22*(MAX(H491,0)-IF(Calculator!$B$10="Yes",MIN(MAX(H491,0),'Tax Tables'!$B$27)*'Tax Tables'!$B$28+MIN(MAX(MAX(H491,0)-'Tax Tables'!$B$27,0),'Tax Tables'!$B$29)*'Tax Tables'!$B$30,MIN(MAX(H491,0),'Tax Tables'!$B$23)*'Tax Tables'!$B$24+MIN(MAX(MAX(H491,0)-'Tax Tables'!$B$23,0),'Tax Tables'!$B$25)*'Tax Tables'!$B$26))*1-MIN('Tax Tables'!$B$22*(MAX(H491,0)-IF(Calculator!$B$10="Yes",MIN(MAX(H491,0),'Tax Tables'!$B$27)*'Tax Tables'!$B$28+MIN(MAX(MAX(H491,0)-'Tax Tables'!$B$27,0),'Tax Tables'!$B$29)*'Tax Tables'!$B$30,MIN(MAX(H491,0),'Tax Tables'!$B$23)*'Tax Tables'!$B$24+MIN(MAX(MAX(H491,0)-'Tax Tables'!$B$23,0),'Tax Tables'!$B$25)*'Tax Tables'!$B$26))*Calculator!$B$11,Calculator!$B$12)</f>
        <v>13260</v>
      </c>
      <c r="J491" s="11" t="n">
        <f aca="false">MAX(H491,0)-I491</f>
        <v>147740</v>
      </c>
      <c r="K491" s="11" t="n">
        <f aca="false">MIN(IF(A491&gt;0,Calculator!$B$13,0)+E491+Calculator!$B$14,'Tax Tables'!$B$36)</f>
        <v>1000</v>
      </c>
      <c r="L491" s="11" t="n">
        <f aca="false">MAX(A491-K491,0)</f>
        <v>238000</v>
      </c>
      <c r="M491" s="11" t="n">
        <f aca="false">SUMPRODUCT((L491&gt;'Tax Tables'!$A$5:$A$17)*(L491-'Tax Tables'!$A$5:$A$17)*'Tax Tables'!$C$5:$C$17)</f>
        <v>28370</v>
      </c>
      <c r="N491" s="11" t="n">
        <f aca="false">IF(H491&lt;0,-1E+099,A491-E491-M491+J491+(E491+F491)*Calculator!$B$9)</f>
        <v>358370</v>
      </c>
      <c r="O491" s="2"/>
      <c r="P491" s="11" t="n">
        <f aca="false">478*$B$3</f>
        <v>239000</v>
      </c>
      <c r="Q491" s="11" t="n">
        <f aca="false">MIN(P491,'Tax Tables'!$B$31*'Tax Tables'!$B$32)</f>
        <v>96000</v>
      </c>
      <c r="R491" s="11" t="n">
        <f aca="false">P491-Q491</f>
        <v>143000</v>
      </c>
      <c r="S491" s="11" t="n">
        <f aca="false">IF(Calculator!$B$6="Yes",MIN(Q491,'Tax Tables'!$B$31*'Tax Tables'!$B$32),0)</f>
        <v>96000</v>
      </c>
      <c r="T491" s="11" t="n">
        <f aca="false">S491*Calculator!$B$7</f>
        <v>19200</v>
      </c>
      <c r="U491" s="11" t="n">
        <f aca="false">S491*Calculator!$B$8</f>
        <v>16320</v>
      </c>
      <c r="V491" s="11" t="n">
        <f aca="false">IF(Q491&gt;0,'Tax Tables'!$B$32*MIN(MAX(Q491/'Tax Tables'!$B$32*'Tax Tables'!$B$33,'Tax Tables'!$B$34),'Tax Tables'!$B$35),0)</f>
        <v>135</v>
      </c>
      <c r="W491" s="11" t="n">
        <f aca="false">Calculator!$B$5-P491-U491-V491</f>
        <v>144545</v>
      </c>
      <c r="X491" s="11" t="n">
        <f aca="false">'Tax Tables'!$B$22*(MAX(W491,0)-IF(Calculator!$B$10="Yes",MIN(MAX(W491,0),'Tax Tables'!$B$27)*'Tax Tables'!$B$28+MIN(MAX(MAX(W491,0)-'Tax Tables'!$B$27,0),'Tax Tables'!$B$29)*'Tax Tables'!$B$30,MIN(MAX(W491,0),'Tax Tables'!$B$23)*'Tax Tables'!$B$24+MIN(MAX(MAX(W491,0)-'Tax Tables'!$B$23,0),'Tax Tables'!$B$25)*'Tax Tables'!$B$26))*1-MIN('Tax Tables'!$B$22*(MAX(W491,0)-IF(Calculator!$B$10="Yes",MIN(MAX(W491,0),'Tax Tables'!$B$27)*'Tax Tables'!$B$28+MIN(MAX(MAX(W491,0)-'Tax Tables'!$B$27,0),'Tax Tables'!$B$29)*'Tax Tables'!$B$30,MIN(MAX(W491,0),'Tax Tables'!$B$23)*'Tax Tables'!$B$24+MIN(MAX(MAX(W491,0)-'Tax Tables'!$B$23,0),'Tax Tables'!$B$25)*'Tax Tables'!$B$26))*Calculator!$B$11,Calculator!$B$12)</f>
        <v>11861.325</v>
      </c>
      <c r="Y491" s="11" t="n">
        <f aca="false">MAX(W491,0)-X491</f>
        <v>132683.675</v>
      </c>
      <c r="Z491" s="11" t="n">
        <f aca="false">MIN(IF(P491&gt;0,Calculator!$B$13,0)+T491+Calculator!$B$14,'Tax Tables'!$B$36)</f>
        <v>20200</v>
      </c>
      <c r="AA491" s="11" t="n">
        <f aca="false">MAX(P491-Z491,0)</f>
        <v>218800</v>
      </c>
      <c r="AB491" s="11" t="n">
        <f aca="false">SUMPRODUCT((AA491&gt;'Tax Tables'!$A$5:$A$17)*(AA491-'Tax Tables'!$A$5:$A$17)*'Tax Tables'!$C$5:$C$17)</f>
        <v>24722</v>
      </c>
      <c r="AC491" s="11" t="n">
        <f aca="false">IF(W491&lt;0,-1E+099,P491-T491-AB491+Y491+(T491+U491)*Calculator!$B$9)</f>
        <v>363281.675</v>
      </c>
    </row>
    <row r="492" customFormat="false" ht="15" hidden="false" customHeight="false" outlineLevel="0" collapsed="false">
      <c r="A492" s="11" t="n">
        <f aca="false">479*$B$3</f>
        <v>239500</v>
      </c>
      <c r="B492" s="11" t="n">
        <f aca="false">0</f>
        <v>0</v>
      </c>
      <c r="C492" s="11" t="n">
        <f aca="false">A492-B492</f>
        <v>239500</v>
      </c>
      <c r="D492" s="11" t="n">
        <f aca="false">IF(Calculator!$B$6="Yes",MIN(B492,'Tax Tables'!$B$31*'Tax Tables'!$B$32),0)</f>
        <v>0</v>
      </c>
      <c r="E492" s="11" t="n">
        <f aca="false">D492*Calculator!$B$7</f>
        <v>0</v>
      </c>
      <c r="F492" s="11" t="n">
        <f aca="false">D492*Calculator!$B$8</f>
        <v>0</v>
      </c>
      <c r="G492" s="11" t="n">
        <f aca="false">IF(B492&gt;0,'Tax Tables'!$B$32*MIN(MAX(B492/'Tax Tables'!$B$32*'Tax Tables'!$B$33,'Tax Tables'!$B$34),'Tax Tables'!$B$35),0)</f>
        <v>0</v>
      </c>
      <c r="H492" s="11" t="n">
        <f aca="false">Calculator!$B$5-A492-F492-G492</f>
        <v>160500</v>
      </c>
      <c r="I492" s="11" t="n">
        <f aca="false">'Tax Tables'!$B$22*(MAX(H492,0)-IF(Calculator!$B$10="Yes",MIN(MAX(H492,0),'Tax Tables'!$B$27)*'Tax Tables'!$B$28+MIN(MAX(MAX(H492,0)-'Tax Tables'!$B$27,0),'Tax Tables'!$B$29)*'Tax Tables'!$B$30,MIN(MAX(H492,0),'Tax Tables'!$B$23)*'Tax Tables'!$B$24+MIN(MAX(MAX(H492,0)-'Tax Tables'!$B$23,0),'Tax Tables'!$B$25)*'Tax Tables'!$B$26))*1-MIN('Tax Tables'!$B$22*(MAX(H492,0)-IF(Calculator!$B$10="Yes",MIN(MAX(H492,0),'Tax Tables'!$B$27)*'Tax Tables'!$B$28+MIN(MAX(MAX(H492,0)-'Tax Tables'!$B$27,0),'Tax Tables'!$B$29)*'Tax Tables'!$B$30,MIN(MAX(H492,0),'Tax Tables'!$B$23)*'Tax Tables'!$B$24+MIN(MAX(MAX(H492,0)-'Tax Tables'!$B$23,0),'Tax Tables'!$B$25)*'Tax Tables'!$B$26))*Calculator!$B$11,Calculator!$B$12)</f>
        <v>13217.5</v>
      </c>
      <c r="J492" s="11" t="n">
        <f aca="false">MAX(H492,0)-I492</f>
        <v>147282.5</v>
      </c>
      <c r="K492" s="11" t="n">
        <f aca="false">MIN(IF(A492&gt;0,Calculator!$B$13,0)+E492+Calculator!$B$14,'Tax Tables'!$B$36)</f>
        <v>1000</v>
      </c>
      <c r="L492" s="11" t="n">
        <f aca="false">MAX(A492-K492,0)</f>
        <v>238500</v>
      </c>
      <c r="M492" s="11" t="n">
        <f aca="false">SUMPRODUCT((L492&gt;'Tax Tables'!$A$5:$A$17)*(L492-'Tax Tables'!$A$5:$A$17)*'Tax Tables'!$C$5:$C$17)</f>
        <v>28465</v>
      </c>
      <c r="N492" s="11" t="n">
        <f aca="false">IF(H492&lt;0,-1E+099,A492-E492-M492+J492+(E492+F492)*Calculator!$B$9)</f>
        <v>358317.5</v>
      </c>
      <c r="O492" s="2"/>
      <c r="P492" s="11" t="n">
        <f aca="false">479*$B$3</f>
        <v>239500</v>
      </c>
      <c r="Q492" s="11" t="n">
        <f aca="false">MIN(P492,'Tax Tables'!$B$31*'Tax Tables'!$B$32)</f>
        <v>96000</v>
      </c>
      <c r="R492" s="11" t="n">
        <f aca="false">P492-Q492</f>
        <v>143500</v>
      </c>
      <c r="S492" s="11" t="n">
        <f aca="false">IF(Calculator!$B$6="Yes",MIN(Q492,'Tax Tables'!$B$31*'Tax Tables'!$B$32),0)</f>
        <v>96000</v>
      </c>
      <c r="T492" s="11" t="n">
        <f aca="false">S492*Calculator!$B$7</f>
        <v>19200</v>
      </c>
      <c r="U492" s="11" t="n">
        <f aca="false">S492*Calculator!$B$8</f>
        <v>16320</v>
      </c>
      <c r="V492" s="11" t="n">
        <f aca="false">IF(Q492&gt;0,'Tax Tables'!$B$32*MIN(MAX(Q492/'Tax Tables'!$B$32*'Tax Tables'!$B$33,'Tax Tables'!$B$34),'Tax Tables'!$B$35),0)</f>
        <v>135</v>
      </c>
      <c r="W492" s="11" t="n">
        <f aca="false">Calculator!$B$5-P492-U492-V492</f>
        <v>144045</v>
      </c>
      <c r="X492" s="11" t="n">
        <f aca="false">'Tax Tables'!$B$22*(MAX(W492,0)-IF(Calculator!$B$10="Yes",MIN(MAX(W492,0),'Tax Tables'!$B$27)*'Tax Tables'!$B$28+MIN(MAX(MAX(W492,0)-'Tax Tables'!$B$27,0),'Tax Tables'!$B$29)*'Tax Tables'!$B$30,MIN(MAX(W492,0),'Tax Tables'!$B$23)*'Tax Tables'!$B$24+MIN(MAX(MAX(W492,0)-'Tax Tables'!$B$23,0),'Tax Tables'!$B$25)*'Tax Tables'!$B$26))*1-MIN('Tax Tables'!$B$22*(MAX(W492,0)-IF(Calculator!$B$10="Yes",MIN(MAX(W492,0),'Tax Tables'!$B$27)*'Tax Tables'!$B$28+MIN(MAX(MAX(W492,0)-'Tax Tables'!$B$27,0),'Tax Tables'!$B$29)*'Tax Tables'!$B$30,MIN(MAX(W492,0),'Tax Tables'!$B$23)*'Tax Tables'!$B$24+MIN(MAX(MAX(W492,0)-'Tax Tables'!$B$23,0),'Tax Tables'!$B$25)*'Tax Tables'!$B$26))*Calculator!$B$11,Calculator!$B$12)</f>
        <v>11818.825</v>
      </c>
      <c r="Y492" s="11" t="n">
        <f aca="false">MAX(W492,0)-X492</f>
        <v>132226.175</v>
      </c>
      <c r="Z492" s="11" t="n">
        <f aca="false">MIN(IF(P492&gt;0,Calculator!$B$13,0)+T492+Calculator!$B$14,'Tax Tables'!$B$36)</f>
        <v>20200</v>
      </c>
      <c r="AA492" s="11" t="n">
        <f aca="false">MAX(P492-Z492,0)</f>
        <v>219300</v>
      </c>
      <c r="AB492" s="11" t="n">
        <f aca="false">SUMPRODUCT((AA492&gt;'Tax Tables'!$A$5:$A$17)*(AA492-'Tax Tables'!$A$5:$A$17)*'Tax Tables'!$C$5:$C$17)</f>
        <v>24817</v>
      </c>
      <c r="AC492" s="11" t="n">
        <f aca="false">IF(W492&lt;0,-1E+099,P492-T492-AB492+Y492+(T492+U492)*Calculator!$B$9)</f>
        <v>363229.175</v>
      </c>
    </row>
    <row r="493" customFormat="false" ht="15" hidden="false" customHeight="false" outlineLevel="0" collapsed="false">
      <c r="A493" s="11" t="n">
        <f aca="false">480*$B$3</f>
        <v>240000</v>
      </c>
      <c r="B493" s="11" t="n">
        <f aca="false">0</f>
        <v>0</v>
      </c>
      <c r="C493" s="11" t="n">
        <f aca="false">A493-B493</f>
        <v>240000</v>
      </c>
      <c r="D493" s="11" t="n">
        <f aca="false">IF(Calculator!$B$6="Yes",MIN(B493,'Tax Tables'!$B$31*'Tax Tables'!$B$32),0)</f>
        <v>0</v>
      </c>
      <c r="E493" s="11" t="n">
        <f aca="false">D493*Calculator!$B$7</f>
        <v>0</v>
      </c>
      <c r="F493" s="11" t="n">
        <f aca="false">D493*Calculator!$B$8</f>
        <v>0</v>
      </c>
      <c r="G493" s="11" t="n">
        <f aca="false">IF(B493&gt;0,'Tax Tables'!$B$32*MIN(MAX(B493/'Tax Tables'!$B$32*'Tax Tables'!$B$33,'Tax Tables'!$B$34),'Tax Tables'!$B$35),0)</f>
        <v>0</v>
      </c>
      <c r="H493" s="11" t="n">
        <f aca="false">Calculator!$B$5-A493-F493-G493</f>
        <v>160000</v>
      </c>
      <c r="I493" s="11" t="n">
        <f aca="false">'Tax Tables'!$B$22*(MAX(H493,0)-IF(Calculator!$B$10="Yes",MIN(MAX(H493,0),'Tax Tables'!$B$27)*'Tax Tables'!$B$28+MIN(MAX(MAX(H493,0)-'Tax Tables'!$B$27,0),'Tax Tables'!$B$29)*'Tax Tables'!$B$30,MIN(MAX(H493,0),'Tax Tables'!$B$23)*'Tax Tables'!$B$24+MIN(MAX(MAX(H493,0)-'Tax Tables'!$B$23,0),'Tax Tables'!$B$25)*'Tax Tables'!$B$26))*1-MIN('Tax Tables'!$B$22*(MAX(H493,0)-IF(Calculator!$B$10="Yes",MIN(MAX(H493,0),'Tax Tables'!$B$27)*'Tax Tables'!$B$28+MIN(MAX(MAX(H493,0)-'Tax Tables'!$B$27,0),'Tax Tables'!$B$29)*'Tax Tables'!$B$30,MIN(MAX(H493,0),'Tax Tables'!$B$23)*'Tax Tables'!$B$24+MIN(MAX(MAX(H493,0)-'Tax Tables'!$B$23,0),'Tax Tables'!$B$25)*'Tax Tables'!$B$26))*Calculator!$B$11,Calculator!$B$12)</f>
        <v>13175</v>
      </c>
      <c r="J493" s="11" t="n">
        <f aca="false">MAX(H493,0)-I493</f>
        <v>146825</v>
      </c>
      <c r="K493" s="11" t="n">
        <f aca="false">MIN(IF(A493&gt;0,Calculator!$B$13,0)+E493+Calculator!$B$14,'Tax Tables'!$B$36)</f>
        <v>1000</v>
      </c>
      <c r="L493" s="11" t="n">
        <f aca="false">MAX(A493-K493,0)</f>
        <v>239000</v>
      </c>
      <c r="M493" s="11" t="n">
        <f aca="false">SUMPRODUCT((L493&gt;'Tax Tables'!$A$5:$A$17)*(L493-'Tax Tables'!$A$5:$A$17)*'Tax Tables'!$C$5:$C$17)</f>
        <v>28560</v>
      </c>
      <c r="N493" s="11" t="n">
        <f aca="false">IF(H493&lt;0,-1E+099,A493-E493-M493+J493+(E493+F493)*Calculator!$B$9)</f>
        <v>358265</v>
      </c>
      <c r="O493" s="2"/>
      <c r="P493" s="11" t="n">
        <f aca="false">480*$B$3</f>
        <v>240000</v>
      </c>
      <c r="Q493" s="11" t="n">
        <f aca="false">MIN(P493,'Tax Tables'!$B$31*'Tax Tables'!$B$32)</f>
        <v>96000</v>
      </c>
      <c r="R493" s="11" t="n">
        <f aca="false">P493-Q493</f>
        <v>144000</v>
      </c>
      <c r="S493" s="11" t="n">
        <f aca="false">IF(Calculator!$B$6="Yes",MIN(Q493,'Tax Tables'!$B$31*'Tax Tables'!$B$32),0)</f>
        <v>96000</v>
      </c>
      <c r="T493" s="11" t="n">
        <f aca="false">S493*Calculator!$B$7</f>
        <v>19200</v>
      </c>
      <c r="U493" s="11" t="n">
        <f aca="false">S493*Calculator!$B$8</f>
        <v>16320</v>
      </c>
      <c r="V493" s="11" t="n">
        <f aca="false">IF(Q493&gt;0,'Tax Tables'!$B$32*MIN(MAX(Q493/'Tax Tables'!$B$32*'Tax Tables'!$B$33,'Tax Tables'!$B$34),'Tax Tables'!$B$35),0)</f>
        <v>135</v>
      </c>
      <c r="W493" s="11" t="n">
        <f aca="false">Calculator!$B$5-P493-U493-V493</f>
        <v>143545</v>
      </c>
      <c r="X493" s="11" t="n">
        <f aca="false">'Tax Tables'!$B$22*(MAX(W493,0)-IF(Calculator!$B$10="Yes",MIN(MAX(W493,0),'Tax Tables'!$B$27)*'Tax Tables'!$B$28+MIN(MAX(MAX(W493,0)-'Tax Tables'!$B$27,0),'Tax Tables'!$B$29)*'Tax Tables'!$B$30,MIN(MAX(W493,0),'Tax Tables'!$B$23)*'Tax Tables'!$B$24+MIN(MAX(MAX(W493,0)-'Tax Tables'!$B$23,0),'Tax Tables'!$B$25)*'Tax Tables'!$B$26))*1-MIN('Tax Tables'!$B$22*(MAX(W493,0)-IF(Calculator!$B$10="Yes",MIN(MAX(W493,0),'Tax Tables'!$B$27)*'Tax Tables'!$B$28+MIN(MAX(MAX(W493,0)-'Tax Tables'!$B$27,0),'Tax Tables'!$B$29)*'Tax Tables'!$B$30,MIN(MAX(W493,0),'Tax Tables'!$B$23)*'Tax Tables'!$B$24+MIN(MAX(MAX(W493,0)-'Tax Tables'!$B$23,0),'Tax Tables'!$B$25)*'Tax Tables'!$B$26))*Calculator!$B$11,Calculator!$B$12)</f>
        <v>11776.325</v>
      </c>
      <c r="Y493" s="11" t="n">
        <f aca="false">MAX(W493,0)-X493</f>
        <v>131768.675</v>
      </c>
      <c r="Z493" s="11" t="n">
        <f aca="false">MIN(IF(P493&gt;0,Calculator!$B$13,0)+T493+Calculator!$B$14,'Tax Tables'!$B$36)</f>
        <v>20200</v>
      </c>
      <c r="AA493" s="11" t="n">
        <f aca="false">MAX(P493-Z493,0)</f>
        <v>219800</v>
      </c>
      <c r="AB493" s="11" t="n">
        <f aca="false">SUMPRODUCT((AA493&gt;'Tax Tables'!$A$5:$A$17)*(AA493-'Tax Tables'!$A$5:$A$17)*'Tax Tables'!$C$5:$C$17)</f>
        <v>24912</v>
      </c>
      <c r="AC493" s="11" t="n">
        <f aca="false">IF(W493&lt;0,-1E+099,P493-T493-AB493+Y493+(T493+U493)*Calculator!$B$9)</f>
        <v>363176.675</v>
      </c>
    </row>
    <row r="494" customFormat="false" ht="15" hidden="false" customHeight="false" outlineLevel="0" collapsed="false">
      <c r="A494" s="11" t="n">
        <f aca="false">481*$B$3</f>
        <v>240500</v>
      </c>
      <c r="B494" s="11" t="n">
        <f aca="false">0</f>
        <v>0</v>
      </c>
      <c r="C494" s="11" t="n">
        <f aca="false">A494-B494</f>
        <v>240500</v>
      </c>
      <c r="D494" s="11" t="n">
        <f aca="false">IF(Calculator!$B$6="Yes",MIN(B494,'Tax Tables'!$B$31*'Tax Tables'!$B$32),0)</f>
        <v>0</v>
      </c>
      <c r="E494" s="11" t="n">
        <f aca="false">D494*Calculator!$B$7</f>
        <v>0</v>
      </c>
      <c r="F494" s="11" t="n">
        <f aca="false">D494*Calculator!$B$8</f>
        <v>0</v>
      </c>
      <c r="G494" s="11" t="n">
        <f aca="false">IF(B494&gt;0,'Tax Tables'!$B$32*MIN(MAX(B494/'Tax Tables'!$B$32*'Tax Tables'!$B$33,'Tax Tables'!$B$34),'Tax Tables'!$B$35),0)</f>
        <v>0</v>
      </c>
      <c r="H494" s="11" t="n">
        <f aca="false">Calculator!$B$5-A494-F494-G494</f>
        <v>159500</v>
      </c>
      <c r="I494" s="11" t="n">
        <f aca="false">'Tax Tables'!$B$22*(MAX(H494,0)-IF(Calculator!$B$10="Yes",MIN(MAX(H494,0),'Tax Tables'!$B$27)*'Tax Tables'!$B$28+MIN(MAX(MAX(H494,0)-'Tax Tables'!$B$27,0),'Tax Tables'!$B$29)*'Tax Tables'!$B$30,MIN(MAX(H494,0),'Tax Tables'!$B$23)*'Tax Tables'!$B$24+MIN(MAX(MAX(H494,0)-'Tax Tables'!$B$23,0),'Tax Tables'!$B$25)*'Tax Tables'!$B$26))*1-MIN('Tax Tables'!$B$22*(MAX(H494,0)-IF(Calculator!$B$10="Yes",MIN(MAX(H494,0),'Tax Tables'!$B$27)*'Tax Tables'!$B$28+MIN(MAX(MAX(H494,0)-'Tax Tables'!$B$27,0),'Tax Tables'!$B$29)*'Tax Tables'!$B$30,MIN(MAX(H494,0),'Tax Tables'!$B$23)*'Tax Tables'!$B$24+MIN(MAX(MAX(H494,0)-'Tax Tables'!$B$23,0),'Tax Tables'!$B$25)*'Tax Tables'!$B$26))*Calculator!$B$11,Calculator!$B$12)</f>
        <v>13132.5</v>
      </c>
      <c r="J494" s="11" t="n">
        <f aca="false">MAX(H494,0)-I494</f>
        <v>146367.5</v>
      </c>
      <c r="K494" s="11" t="n">
        <f aca="false">MIN(IF(A494&gt;0,Calculator!$B$13,0)+E494+Calculator!$B$14,'Tax Tables'!$B$36)</f>
        <v>1000</v>
      </c>
      <c r="L494" s="11" t="n">
        <f aca="false">MAX(A494-K494,0)</f>
        <v>239500</v>
      </c>
      <c r="M494" s="11" t="n">
        <f aca="false">SUMPRODUCT((L494&gt;'Tax Tables'!$A$5:$A$17)*(L494-'Tax Tables'!$A$5:$A$17)*'Tax Tables'!$C$5:$C$17)</f>
        <v>28655</v>
      </c>
      <c r="N494" s="11" t="n">
        <f aca="false">IF(H494&lt;0,-1E+099,A494-E494-M494+J494+(E494+F494)*Calculator!$B$9)</f>
        <v>358212.5</v>
      </c>
      <c r="O494" s="2"/>
      <c r="P494" s="11" t="n">
        <f aca="false">481*$B$3</f>
        <v>240500</v>
      </c>
      <c r="Q494" s="11" t="n">
        <f aca="false">MIN(P494,'Tax Tables'!$B$31*'Tax Tables'!$B$32)</f>
        <v>96000</v>
      </c>
      <c r="R494" s="11" t="n">
        <f aca="false">P494-Q494</f>
        <v>144500</v>
      </c>
      <c r="S494" s="11" t="n">
        <f aca="false">IF(Calculator!$B$6="Yes",MIN(Q494,'Tax Tables'!$B$31*'Tax Tables'!$B$32),0)</f>
        <v>96000</v>
      </c>
      <c r="T494" s="11" t="n">
        <f aca="false">S494*Calculator!$B$7</f>
        <v>19200</v>
      </c>
      <c r="U494" s="11" t="n">
        <f aca="false">S494*Calculator!$B$8</f>
        <v>16320</v>
      </c>
      <c r="V494" s="11" t="n">
        <f aca="false">IF(Q494&gt;0,'Tax Tables'!$B$32*MIN(MAX(Q494/'Tax Tables'!$B$32*'Tax Tables'!$B$33,'Tax Tables'!$B$34),'Tax Tables'!$B$35),0)</f>
        <v>135</v>
      </c>
      <c r="W494" s="11" t="n">
        <f aca="false">Calculator!$B$5-P494-U494-V494</f>
        <v>143045</v>
      </c>
      <c r="X494" s="11" t="n">
        <f aca="false">'Tax Tables'!$B$22*(MAX(W494,0)-IF(Calculator!$B$10="Yes",MIN(MAX(W494,0),'Tax Tables'!$B$27)*'Tax Tables'!$B$28+MIN(MAX(MAX(W494,0)-'Tax Tables'!$B$27,0),'Tax Tables'!$B$29)*'Tax Tables'!$B$30,MIN(MAX(W494,0),'Tax Tables'!$B$23)*'Tax Tables'!$B$24+MIN(MAX(MAX(W494,0)-'Tax Tables'!$B$23,0),'Tax Tables'!$B$25)*'Tax Tables'!$B$26))*1-MIN('Tax Tables'!$B$22*(MAX(W494,0)-IF(Calculator!$B$10="Yes",MIN(MAX(W494,0),'Tax Tables'!$B$27)*'Tax Tables'!$B$28+MIN(MAX(MAX(W494,0)-'Tax Tables'!$B$27,0),'Tax Tables'!$B$29)*'Tax Tables'!$B$30,MIN(MAX(W494,0),'Tax Tables'!$B$23)*'Tax Tables'!$B$24+MIN(MAX(MAX(W494,0)-'Tax Tables'!$B$23,0),'Tax Tables'!$B$25)*'Tax Tables'!$B$26))*Calculator!$B$11,Calculator!$B$12)</f>
        <v>11733.825</v>
      </c>
      <c r="Y494" s="11" t="n">
        <f aca="false">MAX(W494,0)-X494</f>
        <v>131311.175</v>
      </c>
      <c r="Z494" s="11" t="n">
        <f aca="false">MIN(IF(P494&gt;0,Calculator!$B$13,0)+T494+Calculator!$B$14,'Tax Tables'!$B$36)</f>
        <v>20200</v>
      </c>
      <c r="AA494" s="11" t="n">
        <f aca="false">MAX(P494-Z494,0)</f>
        <v>220300</v>
      </c>
      <c r="AB494" s="11" t="n">
        <f aca="false">SUMPRODUCT((AA494&gt;'Tax Tables'!$A$5:$A$17)*(AA494-'Tax Tables'!$A$5:$A$17)*'Tax Tables'!$C$5:$C$17)</f>
        <v>25007</v>
      </c>
      <c r="AC494" s="11" t="n">
        <f aca="false">IF(W494&lt;0,-1E+099,P494-T494-AB494+Y494+(T494+U494)*Calculator!$B$9)</f>
        <v>363124.175</v>
      </c>
    </row>
    <row r="495" customFormat="false" ht="15" hidden="false" customHeight="false" outlineLevel="0" collapsed="false">
      <c r="A495" s="11" t="n">
        <f aca="false">482*$B$3</f>
        <v>241000</v>
      </c>
      <c r="B495" s="11" t="n">
        <f aca="false">0</f>
        <v>0</v>
      </c>
      <c r="C495" s="11" t="n">
        <f aca="false">A495-B495</f>
        <v>241000</v>
      </c>
      <c r="D495" s="11" t="n">
        <f aca="false">IF(Calculator!$B$6="Yes",MIN(B495,'Tax Tables'!$B$31*'Tax Tables'!$B$32),0)</f>
        <v>0</v>
      </c>
      <c r="E495" s="11" t="n">
        <f aca="false">D495*Calculator!$B$7</f>
        <v>0</v>
      </c>
      <c r="F495" s="11" t="n">
        <f aca="false">D495*Calculator!$B$8</f>
        <v>0</v>
      </c>
      <c r="G495" s="11" t="n">
        <f aca="false">IF(B495&gt;0,'Tax Tables'!$B$32*MIN(MAX(B495/'Tax Tables'!$B$32*'Tax Tables'!$B$33,'Tax Tables'!$B$34),'Tax Tables'!$B$35),0)</f>
        <v>0</v>
      </c>
      <c r="H495" s="11" t="n">
        <f aca="false">Calculator!$B$5-A495-F495-G495</f>
        <v>159000</v>
      </c>
      <c r="I495" s="11" t="n">
        <f aca="false">'Tax Tables'!$B$22*(MAX(H495,0)-IF(Calculator!$B$10="Yes",MIN(MAX(H495,0),'Tax Tables'!$B$27)*'Tax Tables'!$B$28+MIN(MAX(MAX(H495,0)-'Tax Tables'!$B$27,0),'Tax Tables'!$B$29)*'Tax Tables'!$B$30,MIN(MAX(H495,0),'Tax Tables'!$B$23)*'Tax Tables'!$B$24+MIN(MAX(MAX(H495,0)-'Tax Tables'!$B$23,0),'Tax Tables'!$B$25)*'Tax Tables'!$B$26))*1-MIN('Tax Tables'!$B$22*(MAX(H495,0)-IF(Calculator!$B$10="Yes",MIN(MAX(H495,0),'Tax Tables'!$B$27)*'Tax Tables'!$B$28+MIN(MAX(MAX(H495,0)-'Tax Tables'!$B$27,0),'Tax Tables'!$B$29)*'Tax Tables'!$B$30,MIN(MAX(H495,0),'Tax Tables'!$B$23)*'Tax Tables'!$B$24+MIN(MAX(MAX(H495,0)-'Tax Tables'!$B$23,0),'Tax Tables'!$B$25)*'Tax Tables'!$B$26))*Calculator!$B$11,Calculator!$B$12)</f>
        <v>13090</v>
      </c>
      <c r="J495" s="11" t="n">
        <f aca="false">MAX(H495,0)-I495</f>
        <v>145910</v>
      </c>
      <c r="K495" s="11" t="n">
        <f aca="false">MIN(IF(A495&gt;0,Calculator!$B$13,0)+E495+Calculator!$B$14,'Tax Tables'!$B$36)</f>
        <v>1000</v>
      </c>
      <c r="L495" s="11" t="n">
        <f aca="false">MAX(A495-K495,0)</f>
        <v>240000</v>
      </c>
      <c r="M495" s="11" t="n">
        <f aca="false">SUMPRODUCT((L495&gt;'Tax Tables'!$A$5:$A$17)*(L495-'Tax Tables'!$A$5:$A$17)*'Tax Tables'!$C$5:$C$17)</f>
        <v>28750</v>
      </c>
      <c r="N495" s="11" t="n">
        <f aca="false">IF(H495&lt;0,-1E+099,A495-E495-M495+J495+(E495+F495)*Calculator!$B$9)</f>
        <v>358160</v>
      </c>
      <c r="O495" s="2"/>
      <c r="P495" s="11" t="n">
        <f aca="false">482*$B$3</f>
        <v>241000</v>
      </c>
      <c r="Q495" s="11" t="n">
        <f aca="false">MIN(P495,'Tax Tables'!$B$31*'Tax Tables'!$B$32)</f>
        <v>96000</v>
      </c>
      <c r="R495" s="11" t="n">
        <f aca="false">P495-Q495</f>
        <v>145000</v>
      </c>
      <c r="S495" s="11" t="n">
        <f aca="false">IF(Calculator!$B$6="Yes",MIN(Q495,'Tax Tables'!$B$31*'Tax Tables'!$B$32),0)</f>
        <v>96000</v>
      </c>
      <c r="T495" s="11" t="n">
        <f aca="false">S495*Calculator!$B$7</f>
        <v>19200</v>
      </c>
      <c r="U495" s="11" t="n">
        <f aca="false">S495*Calculator!$B$8</f>
        <v>16320</v>
      </c>
      <c r="V495" s="11" t="n">
        <f aca="false">IF(Q495&gt;0,'Tax Tables'!$B$32*MIN(MAX(Q495/'Tax Tables'!$B$32*'Tax Tables'!$B$33,'Tax Tables'!$B$34),'Tax Tables'!$B$35),0)</f>
        <v>135</v>
      </c>
      <c r="W495" s="11" t="n">
        <f aca="false">Calculator!$B$5-P495-U495-V495</f>
        <v>142545</v>
      </c>
      <c r="X495" s="11" t="n">
        <f aca="false">'Tax Tables'!$B$22*(MAX(W495,0)-IF(Calculator!$B$10="Yes",MIN(MAX(W495,0),'Tax Tables'!$B$27)*'Tax Tables'!$B$28+MIN(MAX(MAX(W495,0)-'Tax Tables'!$B$27,0),'Tax Tables'!$B$29)*'Tax Tables'!$B$30,MIN(MAX(W495,0),'Tax Tables'!$B$23)*'Tax Tables'!$B$24+MIN(MAX(MAX(W495,0)-'Tax Tables'!$B$23,0),'Tax Tables'!$B$25)*'Tax Tables'!$B$26))*1-MIN('Tax Tables'!$B$22*(MAX(W495,0)-IF(Calculator!$B$10="Yes",MIN(MAX(W495,0),'Tax Tables'!$B$27)*'Tax Tables'!$B$28+MIN(MAX(MAX(W495,0)-'Tax Tables'!$B$27,0),'Tax Tables'!$B$29)*'Tax Tables'!$B$30,MIN(MAX(W495,0),'Tax Tables'!$B$23)*'Tax Tables'!$B$24+MIN(MAX(MAX(W495,0)-'Tax Tables'!$B$23,0),'Tax Tables'!$B$25)*'Tax Tables'!$B$26))*Calculator!$B$11,Calculator!$B$12)</f>
        <v>11691.325</v>
      </c>
      <c r="Y495" s="11" t="n">
        <f aca="false">MAX(W495,0)-X495</f>
        <v>130853.675</v>
      </c>
      <c r="Z495" s="11" t="n">
        <f aca="false">MIN(IF(P495&gt;0,Calculator!$B$13,0)+T495+Calculator!$B$14,'Tax Tables'!$B$36)</f>
        <v>20200</v>
      </c>
      <c r="AA495" s="11" t="n">
        <f aca="false">MAX(P495-Z495,0)</f>
        <v>220800</v>
      </c>
      <c r="AB495" s="11" t="n">
        <f aca="false">SUMPRODUCT((AA495&gt;'Tax Tables'!$A$5:$A$17)*(AA495-'Tax Tables'!$A$5:$A$17)*'Tax Tables'!$C$5:$C$17)</f>
        <v>25102</v>
      </c>
      <c r="AC495" s="11" t="n">
        <f aca="false">IF(W495&lt;0,-1E+099,P495-T495-AB495+Y495+(T495+U495)*Calculator!$B$9)</f>
        <v>363071.675</v>
      </c>
    </row>
    <row r="496" customFormat="false" ht="15" hidden="false" customHeight="false" outlineLevel="0" collapsed="false">
      <c r="A496" s="11" t="n">
        <f aca="false">483*$B$3</f>
        <v>241500</v>
      </c>
      <c r="B496" s="11" t="n">
        <f aca="false">0</f>
        <v>0</v>
      </c>
      <c r="C496" s="11" t="n">
        <f aca="false">A496-B496</f>
        <v>241500</v>
      </c>
      <c r="D496" s="11" t="n">
        <f aca="false">IF(Calculator!$B$6="Yes",MIN(B496,'Tax Tables'!$B$31*'Tax Tables'!$B$32),0)</f>
        <v>0</v>
      </c>
      <c r="E496" s="11" t="n">
        <f aca="false">D496*Calculator!$B$7</f>
        <v>0</v>
      </c>
      <c r="F496" s="11" t="n">
        <f aca="false">D496*Calculator!$B$8</f>
        <v>0</v>
      </c>
      <c r="G496" s="11" t="n">
        <f aca="false">IF(B496&gt;0,'Tax Tables'!$B$32*MIN(MAX(B496/'Tax Tables'!$B$32*'Tax Tables'!$B$33,'Tax Tables'!$B$34),'Tax Tables'!$B$35),0)</f>
        <v>0</v>
      </c>
      <c r="H496" s="11" t="n">
        <f aca="false">Calculator!$B$5-A496-F496-G496</f>
        <v>158500</v>
      </c>
      <c r="I496" s="11" t="n">
        <f aca="false">'Tax Tables'!$B$22*(MAX(H496,0)-IF(Calculator!$B$10="Yes",MIN(MAX(H496,0),'Tax Tables'!$B$27)*'Tax Tables'!$B$28+MIN(MAX(MAX(H496,0)-'Tax Tables'!$B$27,0),'Tax Tables'!$B$29)*'Tax Tables'!$B$30,MIN(MAX(H496,0),'Tax Tables'!$B$23)*'Tax Tables'!$B$24+MIN(MAX(MAX(H496,0)-'Tax Tables'!$B$23,0),'Tax Tables'!$B$25)*'Tax Tables'!$B$26))*1-MIN('Tax Tables'!$B$22*(MAX(H496,0)-IF(Calculator!$B$10="Yes",MIN(MAX(H496,0),'Tax Tables'!$B$27)*'Tax Tables'!$B$28+MIN(MAX(MAX(H496,0)-'Tax Tables'!$B$27,0),'Tax Tables'!$B$29)*'Tax Tables'!$B$30,MIN(MAX(H496,0),'Tax Tables'!$B$23)*'Tax Tables'!$B$24+MIN(MAX(MAX(H496,0)-'Tax Tables'!$B$23,0),'Tax Tables'!$B$25)*'Tax Tables'!$B$26))*Calculator!$B$11,Calculator!$B$12)</f>
        <v>13047.5</v>
      </c>
      <c r="J496" s="11" t="n">
        <f aca="false">MAX(H496,0)-I496</f>
        <v>145452.5</v>
      </c>
      <c r="K496" s="11" t="n">
        <f aca="false">MIN(IF(A496&gt;0,Calculator!$B$13,0)+E496+Calculator!$B$14,'Tax Tables'!$B$36)</f>
        <v>1000</v>
      </c>
      <c r="L496" s="11" t="n">
        <f aca="false">MAX(A496-K496,0)</f>
        <v>240500</v>
      </c>
      <c r="M496" s="11" t="n">
        <f aca="false">SUMPRODUCT((L496&gt;'Tax Tables'!$A$5:$A$17)*(L496-'Tax Tables'!$A$5:$A$17)*'Tax Tables'!$C$5:$C$17)</f>
        <v>28847.5</v>
      </c>
      <c r="N496" s="11" t="n">
        <f aca="false">IF(H496&lt;0,-1E+099,A496-E496-M496+J496+(E496+F496)*Calculator!$B$9)</f>
        <v>358105</v>
      </c>
      <c r="O496" s="2"/>
      <c r="P496" s="11" t="n">
        <f aca="false">483*$B$3</f>
        <v>241500</v>
      </c>
      <c r="Q496" s="11" t="n">
        <f aca="false">MIN(P496,'Tax Tables'!$B$31*'Tax Tables'!$B$32)</f>
        <v>96000</v>
      </c>
      <c r="R496" s="11" t="n">
        <f aca="false">P496-Q496</f>
        <v>145500</v>
      </c>
      <c r="S496" s="11" t="n">
        <f aca="false">IF(Calculator!$B$6="Yes",MIN(Q496,'Tax Tables'!$B$31*'Tax Tables'!$B$32),0)</f>
        <v>96000</v>
      </c>
      <c r="T496" s="11" t="n">
        <f aca="false">S496*Calculator!$B$7</f>
        <v>19200</v>
      </c>
      <c r="U496" s="11" t="n">
        <f aca="false">S496*Calculator!$B$8</f>
        <v>16320</v>
      </c>
      <c r="V496" s="11" t="n">
        <f aca="false">IF(Q496&gt;0,'Tax Tables'!$B$32*MIN(MAX(Q496/'Tax Tables'!$B$32*'Tax Tables'!$B$33,'Tax Tables'!$B$34),'Tax Tables'!$B$35),0)</f>
        <v>135</v>
      </c>
      <c r="W496" s="11" t="n">
        <f aca="false">Calculator!$B$5-P496-U496-V496</f>
        <v>142045</v>
      </c>
      <c r="X496" s="11" t="n">
        <f aca="false">'Tax Tables'!$B$22*(MAX(W496,0)-IF(Calculator!$B$10="Yes",MIN(MAX(W496,0),'Tax Tables'!$B$27)*'Tax Tables'!$B$28+MIN(MAX(MAX(W496,0)-'Tax Tables'!$B$27,0),'Tax Tables'!$B$29)*'Tax Tables'!$B$30,MIN(MAX(W496,0),'Tax Tables'!$B$23)*'Tax Tables'!$B$24+MIN(MAX(MAX(W496,0)-'Tax Tables'!$B$23,0),'Tax Tables'!$B$25)*'Tax Tables'!$B$26))*1-MIN('Tax Tables'!$B$22*(MAX(W496,0)-IF(Calculator!$B$10="Yes",MIN(MAX(W496,0),'Tax Tables'!$B$27)*'Tax Tables'!$B$28+MIN(MAX(MAX(W496,0)-'Tax Tables'!$B$27,0),'Tax Tables'!$B$29)*'Tax Tables'!$B$30,MIN(MAX(W496,0),'Tax Tables'!$B$23)*'Tax Tables'!$B$24+MIN(MAX(MAX(W496,0)-'Tax Tables'!$B$23,0),'Tax Tables'!$B$25)*'Tax Tables'!$B$26))*Calculator!$B$11,Calculator!$B$12)</f>
        <v>11648.825</v>
      </c>
      <c r="Y496" s="11" t="n">
        <f aca="false">MAX(W496,0)-X496</f>
        <v>130396.175</v>
      </c>
      <c r="Z496" s="11" t="n">
        <f aca="false">MIN(IF(P496&gt;0,Calculator!$B$13,0)+T496+Calculator!$B$14,'Tax Tables'!$B$36)</f>
        <v>20200</v>
      </c>
      <c r="AA496" s="11" t="n">
        <f aca="false">MAX(P496-Z496,0)</f>
        <v>221300</v>
      </c>
      <c r="AB496" s="11" t="n">
        <f aca="false">SUMPRODUCT((AA496&gt;'Tax Tables'!$A$5:$A$17)*(AA496-'Tax Tables'!$A$5:$A$17)*'Tax Tables'!$C$5:$C$17)</f>
        <v>25197</v>
      </c>
      <c r="AC496" s="11" t="n">
        <f aca="false">IF(W496&lt;0,-1E+099,P496-T496-AB496+Y496+(T496+U496)*Calculator!$B$9)</f>
        <v>363019.175</v>
      </c>
    </row>
    <row r="497" customFormat="false" ht="15" hidden="false" customHeight="false" outlineLevel="0" collapsed="false">
      <c r="A497" s="11" t="n">
        <f aca="false">484*$B$3</f>
        <v>242000</v>
      </c>
      <c r="B497" s="11" t="n">
        <f aca="false">0</f>
        <v>0</v>
      </c>
      <c r="C497" s="11" t="n">
        <f aca="false">A497-B497</f>
        <v>242000</v>
      </c>
      <c r="D497" s="11" t="n">
        <f aca="false">IF(Calculator!$B$6="Yes",MIN(B497,'Tax Tables'!$B$31*'Tax Tables'!$B$32),0)</f>
        <v>0</v>
      </c>
      <c r="E497" s="11" t="n">
        <f aca="false">D497*Calculator!$B$7</f>
        <v>0</v>
      </c>
      <c r="F497" s="11" t="n">
        <f aca="false">D497*Calculator!$B$8</f>
        <v>0</v>
      </c>
      <c r="G497" s="11" t="n">
        <f aca="false">IF(B497&gt;0,'Tax Tables'!$B$32*MIN(MAX(B497/'Tax Tables'!$B$32*'Tax Tables'!$B$33,'Tax Tables'!$B$34),'Tax Tables'!$B$35),0)</f>
        <v>0</v>
      </c>
      <c r="H497" s="11" t="n">
        <f aca="false">Calculator!$B$5-A497-F497-G497</f>
        <v>158000</v>
      </c>
      <c r="I497" s="11" t="n">
        <f aca="false">'Tax Tables'!$B$22*(MAX(H497,0)-IF(Calculator!$B$10="Yes",MIN(MAX(H497,0),'Tax Tables'!$B$27)*'Tax Tables'!$B$28+MIN(MAX(MAX(H497,0)-'Tax Tables'!$B$27,0),'Tax Tables'!$B$29)*'Tax Tables'!$B$30,MIN(MAX(H497,0),'Tax Tables'!$B$23)*'Tax Tables'!$B$24+MIN(MAX(MAX(H497,0)-'Tax Tables'!$B$23,0),'Tax Tables'!$B$25)*'Tax Tables'!$B$26))*1-MIN('Tax Tables'!$B$22*(MAX(H497,0)-IF(Calculator!$B$10="Yes",MIN(MAX(H497,0),'Tax Tables'!$B$27)*'Tax Tables'!$B$28+MIN(MAX(MAX(H497,0)-'Tax Tables'!$B$27,0),'Tax Tables'!$B$29)*'Tax Tables'!$B$30,MIN(MAX(H497,0),'Tax Tables'!$B$23)*'Tax Tables'!$B$24+MIN(MAX(MAX(H497,0)-'Tax Tables'!$B$23,0),'Tax Tables'!$B$25)*'Tax Tables'!$B$26))*Calculator!$B$11,Calculator!$B$12)</f>
        <v>13005</v>
      </c>
      <c r="J497" s="11" t="n">
        <f aca="false">MAX(H497,0)-I497</f>
        <v>144995</v>
      </c>
      <c r="K497" s="11" t="n">
        <f aca="false">MIN(IF(A497&gt;0,Calculator!$B$13,0)+E497+Calculator!$B$14,'Tax Tables'!$B$36)</f>
        <v>1000</v>
      </c>
      <c r="L497" s="11" t="n">
        <f aca="false">MAX(A497-K497,0)</f>
        <v>241000</v>
      </c>
      <c r="M497" s="11" t="n">
        <f aca="false">SUMPRODUCT((L497&gt;'Tax Tables'!$A$5:$A$17)*(L497-'Tax Tables'!$A$5:$A$17)*'Tax Tables'!$C$5:$C$17)</f>
        <v>28945</v>
      </c>
      <c r="N497" s="11" t="n">
        <f aca="false">IF(H497&lt;0,-1E+099,A497-E497-M497+J497+(E497+F497)*Calculator!$B$9)</f>
        <v>358050</v>
      </c>
      <c r="O497" s="2"/>
      <c r="P497" s="11" t="n">
        <f aca="false">484*$B$3</f>
        <v>242000</v>
      </c>
      <c r="Q497" s="11" t="n">
        <f aca="false">MIN(P497,'Tax Tables'!$B$31*'Tax Tables'!$B$32)</f>
        <v>96000</v>
      </c>
      <c r="R497" s="11" t="n">
        <f aca="false">P497-Q497</f>
        <v>146000</v>
      </c>
      <c r="S497" s="11" t="n">
        <f aca="false">IF(Calculator!$B$6="Yes",MIN(Q497,'Tax Tables'!$B$31*'Tax Tables'!$B$32),0)</f>
        <v>96000</v>
      </c>
      <c r="T497" s="11" t="n">
        <f aca="false">S497*Calculator!$B$7</f>
        <v>19200</v>
      </c>
      <c r="U497" s="11" t="n">
        <f aca="false">S497*Calculator!$B$8</f>
        <v>16320</v>
      </c>
      <c r="V497" s="11" t="n">
        <f aca="false">IF(Q497&gt;0,'Tax Tables'!$B$32*MIN(MAX(Q497/'Tax Tables'!$B$32*'Tax Tables'!$B$33,'Tax Tables'!$B$34),'Tax Tables'!$B$35),0)</f>
        <v>135</v>
      </c>
      <c r="W497" s="11" t="n">
        <f aca="false">Calculator!$B$5-P497-U497-V497</f>
        <v>141545</v>
      </c>
      <c r="X497" s="11" t="n">
        <f aca="false">'Tax Tables'!$B$22*(MAX(W497,0)-IF(Calculator!$B$10="Yes",MIN(MAX(W497,0),'Tax Tables'!$B$27)*'Tax Tables'!$B$28+MIN(MAX(MAX(W497,0)-'Tax Tables'!$B$27,0),'Tax Tables'!$B$29)*'Tax Tables'!$B$30,MIN(MAX(W497,0),'Tax Tables'!$B$23)*'Tax Tables'!$B$24+MIN(MAX(MAX(W497,0)-'Tax Tables'!$B$23,0),'Tax Tables'!$B$25)*'Tax Tables'!$B$26))*1-MIN('Tax Tables'!$B$22*(MAX(W497,0)-IF(Calculator!$B$10="Yes",MIN(MAX(W497,0),'Tax Tables'!$B$27)*'Tax Tables'!$B$28+MIN(MAX(MAX(W497,0)-'Tax Tables'!$B$27,0),'Tax Tables'!$B$29)*'Tax Tables'!$B$30,MIN(MAX(W497,0),'Tax Tables'!$B$23)*'Tax Tables'!$B$24+MIN(MAX(MAX(W497,0)-'Tax Tables'!$B$23,0),'Tax Tables'!$B$25)*'Tax Tables'!$B$26))*Calculator!$B$11,Calculator!$B$12)</f>
        <v>11606.325</v>
      </c>
      <c r="Y497" s="11" t="n">
        <f aca="false">MAX(W497,0)-X497</f>
        <v>129938.675</v>
      </c>
      <c r="Z497" s="11" t="n">
        <f aca="false">MIN(IF(P497&gt;0,Calculator!$B$13,0)+T497+Calculator!$B$14,'Tax Tables'!$B$36)</f>
        <v>20200</v>
      </c>
      <c r="AA497" s="11" t="n">
        <f aca="false">MAX(P497-Z497,0)</f>
        <v>221800</v>
      </c>
      <c r="AB497" s="11" t="n">
        <f aca="false">SUMPRODUCT((AA497&gt;'Tax Tables'!$A$5:$A$17)*(AA497-'Tax Tables'!$A$5:$A$17)*'Tax Tables'!$C$5:$C$17)</f>
        <v>25292</v>
      </c>
      <c r="AC497" s="11" t="n">
        <f aca="false">IF(W497&lt;0,-1E+099,P497-T497-AB497+Y497+(T497+U497)*Calculator!$B$9)</f>
        <v>362966.675</v>
      </c>
    </row>
    <row r="498" customFormat="false" ht="15" hidden="false" customHeight="false" outlineLevel="0" collapsed="false">
      <c r="A498" s="11" t="n">
        <f aca="false">485*$B$3</f>
        <v>242500</v>
      </c>
      <c r="B498" s="11" t="n">
        <f aca="false">0</f>
        <v>0</v>
      </c>
      <c r="C498" s="11" t="n">
        <f aca="false">A498-B498</f>
        <v>242500</v>
      </c>
      <c r="D498" s="11" t="n">
        <f aca="false">IF(Calculator!$B$6="Yes",MIN(B498,'Tax Tables'!$B$31*'Tax Tables'!$B$32),0)</f>
        <v>0</v>
      </c>
      <c r="E498" s="11" t="n">
        <f aca="false">D498*Calculator!$B$7</f>
        <v>0</v>
      </c>
      <c r="F498" s="11" t="n">
        <f aca="false">D498*Calculator!$B$8</f>
        <v>0</v>
      </c>
      <c r="G498" s="11" t="n">
        <f aca="false">IF(B498&gt;0,'Tax Tables'!$B$32*MIN(MAX(B498/'Tax Tables'!$B$32*'Tax Tables'!$B$33,'Tax Tables'!$B$34),'Tax Tables'!$B$35),0)</f>
        <v>0</v>
      </c>
      <c r="H498" s="11" t="n">
        <f aca="false">Calculator!$B$5-A498-F498-G498</f>
        <v>157500</v>
      </c>
      <c r="I498" s="11" t="n">
        <f aca="false">'Tax Tables'!$B$22*(MAX(H498,0)-IF(Calculator!$B$10="Yes",MIN(MAX(H498,0),'Tax Tables'!$B$27)*'Tax Tables'!$B$28+MIN(MAX(MAX(H498,0)-'Tax Tables'!$B$27,0),'Tax Tables'!$B$29)*'Tax Tables'!$B$30,MIN(MAX(H498,0),'Tax Tables'!$B$23)*'Tax Tables'!$B$24+MIN(MAX(MAX(H498,0)-'Tax Tables'!$B$23,0),'Tax Tables'!$B$25)*'Tax Tables'!$B$26))*1-MIN('Tax Tables'!$B$22*(MAX(H498,0)-IF(Calculator!$B$10="Yes",MIN(MAX(H498,0),'Tax Tables'!$B$27)*'Tax Tables'!$B$28+MIN(MAX(MAX(H498,0)-'Tax Tables'!$B$27,0),'Tax Tables'!$B$29)*'Tax Tables'!$B$30,MIN(MAX(H498,0),'Tax Tables'!$B$23)*'Tax Tables'!$B$24+MIN(MAX(MAX(H498,0)-'Tax Tables'!$B$23,0),'Tax Tables'!$B$25)*'Tax Tables'!$B$26))*Calculator!$B$11,Calculator!$B$12)</f>
        <v>12962.5</v>
      </c>
      <c r="J498" s="11" t="n">
        <f aca="false">MAX(H498,0)-I498</f>
        <v>144537.5</v>
      </c>
      <c r="K498" s="11" t="n">
        <f aca="false">MIN(IF(A498&gt;0,Calculator!$B$13,0)+E498+Calculator!$B$14,'Tax Tables'!$B$36)</f>
        <v>1000</v>
      </c>
      <c r="L498" s="11" t="n">
        <f aca="false">MAX(A498-K498,0)</f>
        <v>241500</v>
      </c>
      <c r="M498" s="11" t="n">
        <f aca="false">SUMPRODUCT((L498&gt;'Tax Tables'!$A$5:$A$17)*(L498-'Tax Tables'!$A$5:$A$17)*'Tax Tables'!$C$5:$C$17)</f>
        <v>29042.5</v>
      </c>
      <c r="N498" s="11" t="n">
        <f aca="false">IF(H498&lt;0,-1E+099,A498-E498-M498+J498+(E498+F498)*Calculator!$B$9)</f>
        <v>357995</v>
      </c>
      <c r="O498" s="2"/>
      <c r="P498" s="11" t="n">
        <f aca="false">485*$B$3</f>
        <v>242500</v>
      </c>
      <c r="Q498" s="11" t="n">
        <f aca="false">MIN(P498,'Tax Tables'!$B$31*'Tax Tables'!$B$32)</f>
        <v>96000</v>
      </c>
      <c r="R498" s="11" t="n">
        <f aca="false">P498-Q498</f>
        <v>146500</v>
      </c>
      <c r="S498" s="11" t="n">
        <f aca="false">IF(Calculator!$B$6="Yes",MIN(Q498,'Tax Tables'!$B$31*'Tax Tables'!$B$32),0)</f>
        <v>96000</v>
      </c>
      <c r="T498" s="11" t="n">
        <f aca="false">S498*Calculator!$B$7</f>
        <v>19200</v>
      </c>
      <c r="U498" s="11" t="n">
        <f aca="false">S498*Calculator!$B$8</f>
        <v>16320</v>
      </c>
      <c r="V498" s="11" t="n">
        <f aca="false">IF(Q498&gt;0,'Tax Tables'!$B$32*MIN(MAX(Q498/'Tax Tables'!$B$32*'Tax Tables'!$B$33,'Tax Tables'!$B$34),'Tax Tables'!$B$35),0)</f>
        <v>135</v>
      </c>
      <c r="W498" s="11" t="n">
        <f aca="false">Calculator!$B$5-P498-U498-V498</f>
        <v>141045</v>
      </c>
      <c r="X498" s="11" t="n">
        <f aca="false">'Tax Tables'!$B$22*(MAX(W498,0)-IF(Calculator!$B$10="Yes",MIN(MAX(W498,0),'Tax Tables'!$B$27)*'Tax Tables'!$B$28+MIN(MAX(MAX(W498,0)-'Tax Tables'!$B$27,0),'Tax Tables'!$B$29)*'Tax Tables'!$B$30,MIN(MAX(W498,0),'Tax Tables'!$B$23)*'Tax Tables'!$B$24+MIN(MAX(MAX(W498,0)-'Tax Tables'!$B$23,0),'Tax Tables'!$B$25)*'Tax Tables'!$B$26))*1-MIN('Tax Tables'!$B$22*(MAX(W498,0)-IF(Calculator!$B$10="Yes",MIN(MAX(W498,0),'Tax Tables'!$B$27)*'Tax Tables'!$B$28+MIN(MAX(MAX(W498,0)-'Tax Tables'!$B$27,0),'Tax Tables'!$B$29)*'Tax Tables'!$B$30,MIN(MAX(W498,0),'Tax Tables'!$B$23)*'Tax Tables'!$B$24+MIN(MAX(MAX(W498,0)-'Tax Tables'!$B$23,0),'Tax Tables'!$B$25)*'Tax Tables'!$B$26))*Calculator!$B$11,Calculator!$B$12)</f>
        <v>11563.825</v>
      </c>
      <c r="Y498" s="11" t="n">
        <f aca="false">MAX(W498,0)-X498</f>
        <v>129481.175</v>
      </c>
      <c r="Z498" s="11" t="n">
        <f aca="false">MIN(IF(P498&gt;0,Calculator!$B$13,0)+T498+Calculator!$B$14,'Tax Tables'!$B$36)</f>
        <v>20200</v>
      </c>
      <c r="AA498" s="11" t="n">
        <f aca="false">MAX(P498-Z498,0)</f>
        <v>222300</v>
      </c>
      <c r="AB498" s="11" t="n">
        <f aca="false">SUMPRODUCT((AA498&gt;'Tax Tables'!$A$5:$A$17)*(AA498-'Tax Tables'!$A$5:$A$17)*'Tax Tables'!$C$5:$C$17)</f>
        <v>25387</v>
      </c>
      <c r="AC498" s="11" t="n">
        <f aca="false">IF(W498&lt;0,-1E+099,P498-T498-AB498+Y498+(T498+U498)*Calculator!$B$9)</f>
        <v>362914.175</v>
      </c>
    </row>
    <row r="499" customFormat="false" ht="15" hidden="false" customHeight="false" outlineLevel="0" collapsed="false">
      <c r="A499" s="11" t="n">
        <f aca="false">486*$B$3</f>
        <v>243000</v>
      </c>
      <c r="B499" s="11" t="n">
        <f aca="false">0</f>
        <v>0</v>
      </c>
      <c r="C499" s="11" t="n">
        <f aca="false">A499-B499</f>
        <v>243000</v>
      </c>
      <c r="D499" s="11" t="n">
        <f aca="false">IF(Calculator!$B$6="Yes",MIN(B499,'Tax Tables'!$B$31*'Tax Tables'!$B$32),0)</f>
        <v>0</v>
      </c>
      <c r="E499" s="11" t="n">
        <f aca="false">D499*Calculator!$B$7</f>
        <v>0</v>
      </c>
      <c r="F499" s="11" t="n">
        <f aca="false">D499*Calculator!$B$8</f>
        <v>0</v>
      </c>
      <c r="G499" s="11" t="n">
        <f aca="false">IF(B499&gt;0,'Tax Tables'!$B$32*MIN(MAX(B499/'Tax Tables'!$B$32*'Tax Tables'!$B$33,'Tax Tables'!$B$34),'Tax Tables'!$B$35),0)</f>
        <v>0</v>
      </c>
      <c r="H499" s="11" t="n">
        <f aca="false">Calculator!$B$5-A499-F499-G499</f>
        <v>157000</v>
      </c>
      <c r="I499" s="11" t="n">
        <f aca="false">'Tax Tables'!$B$22*(MAX(H499,0)-IF(Calculator!$B$10="Yes",MIN(MAX(H499,0),'Tax Tables'!$B$27)*'Tax Tables'!$B$28+MIN(MAX(MAX(H499,0)-'Tax Tables'!$B$27,0),'Tax Tables'!$B$29)*'Tax Tables'!$B$30,MIN(MAX(H499,0),'Tax Tables'!$B$23)*'Tax Tables'!$B$24+MIN(MAX(MAX(H499,0)-'Tax Tables'!$B$23,0),'Tax Tables'!$B$25)*'Tax Tables'!$B$26))*1-MIN('Tax Tables'!$B$22*(MAX(H499,0)-IF(Calculator!$B$10="Yes",MIN(MAX(H499,0),'Tax Tables'!$B$27)*'Tax Tables'!$B$28+MIN(MAX(MAX(H499,0)-'Tax Tables'!$B$27,0),'Tax Tables'!$B$29)*'Tax Tables'!$B$30,MIN(MAX(H499,0),'Tax Tables'!$B$23)*'Tax Tables'!$B$24+MIN(MAX(MAX(H499,0)-'Tax Tables'!$B$23,0),'Tax Tables'!$B$25)*'Tax Tables'!$B$26))*Calculator!$B$11,Calculator!$B$12)</f>
        <v>12920</v>
      </c>
      <c r="J499" s="11" t="n">
        <f aca="false">MAX(H499,0)-I499</f>
        <v>144080</v>
      </c>
      <c r="K499" s="11" t="n">
        <f aca="false">MIN(IF(A499&gt;0,Calculator!$B$13,0)+E499+Calculator!$B$14,'Tax Tables'!$B$36)</f>
        <v>1000</v>
      </c>
      <c r="L499" s="11" t="n">
        <f aca="false">MAX(A499-K499,0)</f>
        <v>242000</v>
      </c>
      <c r="M499" s="11" t="n">
        <f aca="false">SUMPRODUCT((L499&gt;'Tax Tables'!$A$5:$A$17)*(L499-'Tax Tables'!$A$5:$A$17)*'Tax Tables'!$C$5:$C$17)</f>
        <v>29140</v>
      </c>
      <c r="N499" s="11" t="n">
        <f aca="false">IF(H499&lt;0,-1E+099,A499-E499-M499+J499+(E499+F499)*Calculator!$B$9)</f>
        <v>357940</v>
      </c>
      <c r="O499" s="2"/>
      <c r="P499" s="11" t="n">
        <f aca="false">486*$B$3</f>
        <v>243000</v>
      </c>
      <c r="Q499" s="11" t="n">
        <f aca="false">MIN(P499,'Tax Tables'!$B$31*'Tax Tables'!$B$32)</f>
        <v>96000</v>
      </c>
      <c r="R499" s="11" t="n">
        <f aca="false">P499-Q499</f>
        <v>147000</v>
      </c>
      <c r="S499" s="11" t="n">
        <f aca="false">IF(Calculator!$B$6="Yes",MIN(Q499,'Tax Tables'!$B$31*'Tax Tables'!$B$32),0)</f>
        <v>96000</v>
      </c>
      <c r="T499" s="11" t="n">
        <f aca="false">S499*Calculator!$B$7</f>
        <v>19200</v>
      </c>
      <c r="U499" s="11" t="n">
        <f aca="false">S499*Calculator!$B$8</f>
        <v>16320</v>
      </c>
      <c r="V499" s="11" t="n">
        <f aca="false">IF(Q499&gt;0,'Tax Tables'!$B$32*MIN(MAX(Q499/'Tax Tables'!$B$32*'Tax Tables'!$B$33,'Tax Tables'!$B$34),'Tax Tables'!$B$35),0)</f>
        <v>135</v>
      </c>
      <c r="W499" s="11" t="n">
        <f aca="false">Calculator!$B$5-P499-U499-V499</f>
        <v>140545</v>
      </c>
      <c r="X499" s="11" t="n">
        <f aca="false">'Tax Tables'!$B$22*(MAX(W499,0)-IF(Calculator!$B$10="Yes",MIN(MAX(W499,0),'Tax Tables'!$B$27)*'Tax Tables'!$B$28+MIN(MAX(MAX(W499,0)-'Tax Tables'!$B$27,0),'Tax Tables'!$B$29)*'Tax Tables'!$B$30,MIN(MAX(W499,0),'Tax Tables'!$B$23)*'Tax Tables'!$B$24+MIN(MAX(MAX(W499,0)-'Tax Tables'!$B$23,0),'Tax Tables'!$B$25)*'Tax Tables'!$B$26))*1-MIN('Tax Tables'!$B$22*(MAX(W499,0)-IF(Calculator!$B$10="Yes",MIN(MAX(W499,0),'Tax Tables'!$B$27)*'Tax Tables'!$B$28+MIN(MAX(MAX(W499,0)-'Tax Tables'!$B$27,0),'Tax Tables'!$B$29)*'Tax Tables'!$B$30,MIN(MAX(W499,0),'Tax Tables'!$B$23)*'Tax Tables'!$B$24+MIN(MAX(MAX(W499,0)-'Tax Tables'!$B$23,0),'Tax Tables'!$B$25)*'Tax Tables'!$B$26))*Calculator!$B$11,Calculator!$B$12)</f>
        <v>11521.325</v>
      </c>
      <c r="Y499" s="11" t="n">
        <f aca="false">MAX(W499,0)-X499</f>
        <v>129023.675</v>
      </c>
      <c r="Z499" s="11" t="n">
        <f aca="false">MIN(IF(P499&gt;0,Calculator!$B$13,0)+T499+Calculator!$B$14,'Tax Tables'!$B$36)</f>
        <v>20200</v>
      </c>
      <c r="AA499" s="11" t="n">
        <f aca="false">MAX(P499-Z499,0)</f>
        <v>222800</v>
      </c>
      <c r="AB499" s="11" t="n">
        <f aca="false">SUMPRODUCT((AA499&gt;'Tax Tables'!$A$5:$A$17)*(AA499-'Tax Tables'!$A$5:$A$17)*'Tax Tables'!$C$5:$C$17)</f>
        <v>25482</v>
      </c>
      <c r="AC499" s="11" t="n">
        <f aca="false">IF(W499&lt;0,-1E+099,P499-T499-AB499+Y499+(T499+U499)*Calculator!$B$9)</f>
        <v>362861.675</v>
      </c>
    </row>
    <row r="500" customFormat="false" ht="15" hidden="false" customHeight="false" outlineLevel="0" collapsed="false">
      <c r="A500" s="11" t="n">
        <f aca="false">487*$B$3</f>
        <v>243500</v>
      </c>
      <c r="B500" s="11" t="n">
        <f aca="false">0</f>
        <v>0</v>
      </c>
      <c r="C500" s="11" t="n">
        <f aca="false">A500-B500</f>
        <v>243500</v>
      </c>
      <c r="D500" s="11" t="n">
        <f aca="false">IF(Calculator!$B$6="Yes",MIN(B500,'Tax Tables'!$B$31*'Tax Tables'!$B$32),0)</f>
        <v>0</v>
      </c>
      <c r="E500" s="11" t="n">
        <f aca="false">D500*Calculator!$B$7</f>
        <v>0</v>
      </c>
      <c r="F500" s="11" t="n">
        <f aca="false">D500*Calculator!$B$8</f>
        <v>0</v>
      </c>
      <c r="G500" s="11" t="n">
        <f aca="false">IF(B500&gt;0,'Tax Tables'!$B$32*MIN(MAX(B500/'Tax Tables'!$B$32*'Tax Tables'!$B$33,'Tax Tables'!$B$34),'Tax Tables'!$B$35),0)</f>
        <v>0</v>
      </c>
      <c r="H500" s="11" t="n">
        <f aca="false">Calculator!$B$5-A500-F500-G500</f>
        <v>156500</v>
      </c>
      <c r="I500" s="11" t="n">
        <f aca="false">'Tax Tables'!$B$22*(MAX(H500,0)-IF(Calculator!$B$10="Yes",MIN(MAX(H500,0),'Tax Tables'!$B$27)*'Tax Tables'!$B$28+MIN(MAX(MAX(H500,0)-'Tax Tables'!$B$27,0),'Tax Tables'!$B$29)*'Tax Tables'!$B$30,MIN(MAX(H500,0),'Tax Tables'!$B$23)*'Tax Tables'!$B$24+MIN(MAX(MAX(H500,0)-'Tax Tables'!$B$23,0),'Tax Tables'!$B$25)*'Tax Tables'!$B$26))*1-MIN('Tax Tables'!$B$22*(MAX(H500,0)-IF(Calculator!$B$10="Yes",MIN(MAX(H500,0),'Tax Tables'!$B$27)*'Tax Tables'!$B$28+MIN(MAX(MAX(H500,0)-'Tax Tables'!$B$27,0),'Tax Tables'!$B$29)*'Tax Tables'!$B$30,MIN(MAX(H500,0),'Tax Tables'!$B$23)*'Tax Tables'!$B$24+MIN(MAX(MAX(H500,0)-'Tax Tables'!$B$23,0),'Tax Tables'!$B$25)*'Tax Tables'!$B$26))*Calculator!$B$11,Calculator!$B$12)</f>
        <v>12877.5</v>
      </c>
      <c r="J500" s="11" t="n">
        <f aca="false">MAX(H500,0)-I500</f>
        <v>143622.5</v>
      </c>
      <c r="K500" s="11" t="n">
        <f aca="false">MIN(IF(A500&gt;0,Calculator!$B$13,0)+E500+Calculator!$B$14,'Tax Tables'!$B$36)</f>
        <v>1000</v>
      </c>
      <c r="L500" s="11" t="n">
        <f aca="false">MAX(A500-K500,0)</f>
        <v>242500</v>
      </c>
      <c r="M500" s="11" t="n">
        <f aca="false">SUMPRODUCT((L500&gt;'Tax Tables'!$A$5:$A$17)*(L500-'Tax Tables'!$A$5:$A$17)*'Tax Tables'!$C$5:$C$17)</f>
        <v>29237.5</v>
      </c>
      <c r="N500" s="11" t="n">
        <f aca="false">IF(H500&lt;0,-1E+099,A500-E500-M500+J500+(E500+F500)*Calculator!$B$9)</f>
        <v>357885</v>
      </c>
      <c r="O500" s="2"/>
      <c r="P500" s="11" t="n">
        <f aca="false">487*$B$3</f>
        <v>243500</v>
      </c>
      <c r="Q500" s="11" t="n">
        <f aca="false">MIN(P500,'Tax Tables'!$B$31*'Tax Tables'!$B$32)</f>
        <v>96000</v>
      </c>
      <c r="R500" s="11" t="n">
        <f aca="false">P500-Q500</f>
        <v>147500</v>
      </c>
      <c r="S500" s="11" t="n">
        <f aca="false">IF(Calculator!$B$6="Yes",MIN(Q500,'Tax Tables'!$B$31*'Tax Tables'!$B$32),0)</f>
        <v>96000</v>
      </c>
      <c r="T500" s="11" t="n">
        <f aca="false">S500*Calculator!$B$7</f>
        <v>19200</v>
      </c>
      <c r="U500" s="11" t="n">
        <f aca="false">S500*Calculator!$B$8</f>
        <v>16320</v>
      </c>
      <c r="V500" s="11" t="n">
        <f aca="false">IF(Q500&gt;0,'Tax Tables'!$B$32*MIN(MAX(Q500/'Tax Tables'!$B$32*'Tax Tables'!$B$33,'Tax Tables'!$B$34),'Tax Tables'!$B$35),0)</f>
        <v>135</v>
      </c>
      <c r="W500" s="11" t="n">
        <f aca="false">Calculator!$B$5-P500-U500-V500</f>
        <v>140045</v>
      </c>
      <c r="X500" s="11" t="n">
        <f aca="false">'Tax Tables'!$B$22*(MAX(W500,0)-IF(Calculator!$B$10="Yes",MIN(MAX(W500,0),'Tax Tables'!$B$27)*'Tax Tables'!$B$28+MIN(MAX(MAX(W500,0)-'Tax Tables'!$B$27,0),'Tax Tables'!$B$29)*'Tax Tables'!$B$30,MIN(MAX(W500,0),'Tax Tables'!$B$23)*'Tax Tables'!$B$24+MIN(MAX(MAX(W500,0)-'Tax Tables'!$B$23,0),'Tax Tables'!$B$25)*'Tax Tables'!$B$26))*1-MIN('Tax Tables'!$B$22*(MAX(W500,0)-IF(Calculator!$B$10="Yes",MIN(MAX(W500,0),'Tax Tables'!$B$27)*'Tax Tables'!$B$28+MIN(MAX(MAX(W500,0)-'Tax Tables'!$B$27,0),'Tax Tables'!$B$29)*'Tax Tables'!$B$30,MIN(MAX(W500,0),'Tax Tables'!$B$23)*'Tax Tables'!$B$24+MIN(MAX(MAX(W500,0)-'Tax Tables'!$B$23,0),'Tax Tables'!$B$25)*'Tax Tables'!$B$26))*Calculator!$B$11,Calculator!$B$12)</f>
        <v>11478.825</v>
      </c>
      <c r="Y500" s="11" t="n">
        <f aca="false">MAX(W500,0)-X500</f>
        <v>128566.175</v>
      </c>
      <c r="Z500" s="11" t="n">
        <f aca="false">MIN(IF(P500&gt;0,Calculator!$B$13,0)+T500+Calculator!$B$14,'Tax Tables'!$B$36)</f>
        <v>20200</v>
      </c>
      <c r="AA500" s="11" t="n">
        <f aca="false">MAX(P500-Z500,0)</f>
        <v>223300</v>
      </c>
      <c r="AB500" s="11" t="n">
        <f aca="false">SUMPRODUCT((AA500&gt;'Tax Tables'!$A$5:$A$17)*(AA500-'Tax Tables'!$A$5:$A$17)*'Tax Tables'!$C$5:$C$17)</f>
        <v>25577</v>
      </c>
      <c r="AC500" s="11" t="n">
        <f aca="false">IF(W500&lt;0,-1E+099,P500-T500-AB500+Y500+(T500+U500)*Calculator!$B$9)</f>
        <v>362809.175</v>
      </c>
    </row>
    <row r="501" customFormat="false" ht="15" hidden="false" customHeight="false" outlineLevel="0" collapsed="false">
      <c r="A501" s="11" t="n">
        <f aca="false">488*$B$3</f>
        <v>244000</v>
      </c>
      <c r="B501" s="11" t="n">
        <f aca="false">0</f>
        <v>0</v>
      </c>
      <c r="C501" s="11" t="n">
        <f aca="false">A501-B501</f>
        <v>244000</v>
      </c>
      <c r="D501" s="11" t="n">
        <f aca="false">IF(Calculator!$B$6="Yes",MIN(B501,'Tax Tables'!$B$31*'Tax Tables'!$B$32),0)</f>
        <v>0</v>
      </c>
      <c r="E501" s="11" t="n">
        <f aca="false">D501*Calculator!$B$7</f>
        <v>0</v>
      </c>
      <c r="F501" s="11" t="n">
        <f aca="false">D501*Calculator!$B$8</f>
        <v>0</v>
      </c>
      <c r="G501" s="11" t="n">
        <f aca="false">IF(B501&gt;0,'Tax Tables'!$B$32*MIN(MAX(B501/'Tax Tables'!$B$32*'Tax Tables'!$B$33,'Tax Tables'!$B$34),'Tax Tables'!$B$35),0)</f>
        <v>0</v>
      </c>
      <c r="H501" s="11" t="n">
        <f aca="false">Calculator!$B$5-A501-F501-G501</f>
        <v>156000</v>
      </c>
      <c r="I501" s="11" t="n">
        <f aca="false">'Tax Tables'!$B$22*(MAX(H501,0)-IF(Calculator!$B$10="Yes",MIN(MAX(H501,0),'Tax Tables'!$B$27)*'Tax Tables'!$B$28+MIN(MAX(MAX(H501,0)-'Tax Tables'!$B$27,0),'Tax Tables'!$B$29)*'Tax Tables'!$B$30,MIN(MAX(H501,0),'Tax Tables'!$B$23)*'Tax Tables'!$B$24+MIN(MAX(MAX(H501,0)-'Tax Tables'!$B$23,0),'Tax Tables'!$B$25)*'Tax Tables'!$B$26))*1-MIN('Tax Tables'!$B$22*(MAX(H501,0)-IF(Calculator!$B$10="Yes",MIN(MAX(H501,0),'Tax Tables'!$B$27)*'Tax Tables'!$B$28+MIN(MAX(MAX(H501,0)-'Tax Tables'!$B$27,0),'Tax Tables'!$B$29)*'Tax Tables'!$B$30,MIN(MAX(H501,0),'Tax Tables'!$B$23)*'Tax Tables'!$B$24+MIN(MAX(MAX(H501,0)-'Tax Tables'!$B$23,0),'Tax Tables'!$B$25)*'Tax Tables'!$B$26))*Calculator!$B$11,Calculator!$B$12)</f>
        <v>12835</v>
      </c>
      <c r="J501" s="11" t="n">
        <f aca="false">MAX(H501,0)-I501</f>
        <v>143165</v>
      </c>
      <c r="K501" s="11" t="n">
        <f aca="false">MIN(IF(A501&gt;0,Calculator!$B$13,0)+E501+Calculator!$B$14,'Tax Tables'!$B$36)</f>
        <v>1000</v>
      </c>
      <c r="L501" s="11" t="n">
        <f aca="false">MAX(A501-K501,0)</f>
        <v>243000</v>
      </c>
      <c r="M501" s="11" t="n">
        <f aca="false">SUMPRODUCT((L501&gt;'Tax Tables'!$A$5:$A$17)*(L501-'Tax Tables'!$A$5:$A$17)*'Tax Tables'!$C$5:$C$17)</f>
        <v>29335</v>
      </c>
      <c r="N501" s="11" t="n">
        <f aca="false">IF(H501&lt;0,-1E+099,A501-E501-M501+J501+(E501+F501)*Calculator!$B$9)</f>
        <v>357830</v>
      </c>
      <c r="O501" s="2"/>
      <c r="P501" s="11" t="n">
        <f aca="false">488*$B$3</f>
        <v>244000</v>
      </c>
      <c r="Q501" s="11" t="n">
        <f aca="false">MIN(P501,'Tax Tables'!$B$31*'Tax Tables'!$B$32)</f>
        <v>96000</v>
      </c>
      <c r="R501" s="11" t="n">
        <f aca="false">P501-Q501</f>
        <v>148000</v>
      </c>
      <c r="S501" s="11" t="n">
        <f aca="false">IF(Calculator!$B$6="Yes",MIN(Q501,'Tax Tables'!$B$31*'Tax Tables'!$B$32),0)</f>
        <v>96000</v>
      </c>
      <c r="T501" s="11" t="n">
        <f aca="false">S501*Calculator!$B$7</f>
        <v>19200</v>
      </c>
      <c r="U501" s="11" t="n">
        <f aca="false">S501*Calculator!$B$8</f>
        <v>16320</v>
      </c>
      <c r="V501" s="11" t="n">
        <f aca="false">IF(Q501&gt;0,'Tax Tables'!$B$32*MIN(MAX(Q501/'Tax Tables'!$B$32*'Tax Tables'!$B$33,'Tax Tables'!$B$34),'Tax Tables'!$B$35),0)</f>
        <v>135</v>
      </c>
      <c r="W501" s="11" t="n">
        <f aca="false">Calculator!$B$5-P501-U501-V501</f>
        <v>139545</v>
      </c>
      <c r="X501" s="11" t="n">
        <f aca="false">'Tax Tables'!$B$22*(MAX(W501,0)-IF(Calculator!$B$10="Yes",MIN(MAX(W501,0),'Tax Tables'!$B$27)*'Tax Tables'!$B$28+MIN(MAX(MAX(W501,0)-'Tax Tables'!$B$27,0),'Tax Tables'!$B$29)*'Tax Tables'!$B$30,MIN(MAX(W501,0),'Tax Tables'!$B$23)*'Tax Tables'!$B$24+MIN(MAX(MAX(W501,0)-'Tax Tables'!$B$23,0),'Tax Tables'!$B$25)*'Tax Tables'!$B$26))*1-MIN('Tax Tables'!$B$22*(MAX(W501,0)-IF(Calculator!$B$10="Yes",MIN(MAX(W501,0),'Tax Tables'!$B$27)*'Tax Tables'!$B$28+MIN(MAX(MAX(W501,0)-'Tax Tables'!$B$27,0),'Tax Tables'!$B$29)*'Tax Tables'!$B$30,MIN(MAX(W501,0),'Tax Tables'!$B$23)*'Tax Tables'!$B$24+MIN(MAX(MAX(W501,0)-'Tax Tables'!$B$23,0),'Tax Tables'!$B$25)*'Tax Tables'!$B$26))*Calculator!$B$11,Calculator!$B$12)</f>
        <v>11436.325</v>
      </c>
      <c r="Y501" s="11" t="n">
        <f aca="false">MAX(W501,0)-X501</f>
        <v>128108.675</v>
      </c>
      <c r="Z501" s="11" t="n">
        <f aca="false">MIN(IF(P501&gt;0,Calculator!$B$13,0)+T501+Calculator!$B$14,'Tax Tables'!$B$36)</f>
        <v>20200</v>
      </c>
      <c r="AA501" s="11" t="n">
        <f aca="false">MAX(P501-Z501,0)</f>
        <v>223800</v>
      </c>
      <c r="AB501" s="11" t="n">
        <f aca="false">SUMPRODUCT((AA501&gt;'Tax Tables'!$A$5:$A$17)*(AA501-'Tax Tables'!$A$5:$A$17)*'Tax Tables'!$C$5:$C$17)</f>
        <v>25672</v>
      </c>
      <c r="AC501" s="11" t="n">
        <f aca="false">IF(W501&lt;0,-1E+099,P501-T501-AB501+Y501+(T501+U501)*Calculator!$B$9)</f>
        <v>362756.675</v>
      </c>
    </row>
    <row r="502" customFormat="false" ht="15" hidden="false" customHeight="false" outlineLevel="0" collapsed="false">
      <c r="A502" s="11" t="n">
        <f aca="false">489*$B$3</f>
        <v>244500</v>
      </c>
      <c r="B502" s="11" t="n">
        <f aca="false">0</f>
        <v>0</v>
      </c>
      <c r="C502" s="11" t="n">
        <f aca="false">A502-B502</f>
        <v>244500</v>
      </c>
      <c r="D502" s="11" t="n">
        <f aca="false">IF(Calculator!$B$6="Yes",MIN(B502,'Tax Tables'!$B$31*'Tax Tables'!$B$32),0)</f>
        <v>0</v>
      </c>
      <c r="E502" s="11" t="n">
        <f aca="false">D502*Calculator!$B$7</f>
        <v>0</v>
      </c>
      <c r="F502" s="11" t="n">
        <f aca="false">D502*Calculator!$B$8</f>
        <v>0</v>
      </c>
      <c r="G502" s="11" t="n">
        <f aca="false">IF(B502&gt;0,'Tax Tables'!$B$32*MIN(MAX(B502/'Tax Tables'!$B$32*'Tax Tables'!$B$33,'Tax Tables'!$B$34),'Tax Tables'!$B$35),0)</f>
        <v>0</v>
      </c>
      <c r="H502" s="11" t="n">
        <f aca="false">Calculator!$B$5-A502-F502-G502</f>
        <v>155500</v>
      </c>
      <c r="I502" s="11" t="n">
        <f aca="false">'Tax Tables'!$B$22*(MAX(H502,0)-IF(Calculator!$B$10="Yes",MIN(MAX(H502,0),'Tax Tables'!$B$27)*'Tax Tables'!$B$28+MIN(MAX(MAX(H502,0)-'Tax Tables'!$B$27,0),'Tax Tables'!$B$29)*'Tax Tables'!$B$30,MIN(MAX(H502,0),'Tax Tables'!$B$23)*'Tax Tables'!$B$24+MIN(MAX(MAX(H502,0)-'Tax Tables'!$B$23,0),'Tax Tables'!$B$25)*'Tax Tables'!$B$26))*1-MIN('Tax Tables'!$B$22*(MAX(H502,0)-IF(Calculator!$B$10="Yes",MIN(MAX(H502,0),'Tax Tables'!$B$27)*'Tax Tables'!$B$28+MIN(MAX(MAX(H502,0)-'Tax Tables'!$B$27,0),'Tax Tables'!$B$29)*'Tax Tables'!$B$30,MIN(MAX(H502,0),'Tax Tables'!$B$23)*'Tax Tables'!$B$24+MIN(MAX(MAX(H502,0)-'Tax Tables'!$B$23,0),'Tax Tables'!$B$25)*'Tax Tables'!$B$26))*Calculator!$B$11,Calculator!$B$12)</f>
        <v>12792.5</v>
      </c>
      <c r="J502" s="11" t="n">
        <f aca="false">MAX(H502,0)-I502</f>
        <v>142707.5</v>
      </c>
      <c r="K502" s="11" t="n">
        <f aca="false">MIN(IF(A502&gt;0,Calculator!$B$13,0)+E502+Calculator!$B$14,'Tax Tables'!$B$36)</f>
        <v>1000</v>
      </c>
      <c r="L502" s="11" t="n">
        <f aca="false">MAX(A502-K502,0)</f>
        <v>243500</v>
      </c>
      <c r="M502" s="11" t="n">
        <f aca="false">SUMPRODUCT((L502&gt;'Tax Tables'!$A$5:$A$17)*(L502-'Tax Tables'!$A$5:$A$17)*'Tax Tables'!$C$5:$C$17)</f>
        <v>29432.5</v>
      </c>
      <c r="N502" s="11" t="n">
        <f aca="false">IF(H502&lt;0,-1E+099,A502-E502-M502+J502+(E502+F502)*Calculator!$B$9)</f>
        <v>357775</v>
      </c>
      <c r="O502" s="2"/>
      <c r="P502" s="11" t="n">
        <f aca="false">489*$B$3</f>
        <v>244500</v>
      </c>
      <c r="Q502" s="11" t="n">
        <f aca="false">MIN(P502,'Tax Tables'!$B$31*'Tax Tables'!$B$32)</f>
        <v>96000</v>
      </c>
      <c r="R502" s="11" t="n">
        <f aca="false">P502-Q502</f>
        <v>148500</v>
      </c>
      <c r="S502" s="11" t="n">
        <f aca="false">IF(Calculator!$B$6="Yes",MIN(Q502,'Tax Tables'!$B$31*'Tax Tables'!$B$32),0)</f>
        <v>96000</v>
      </c>
      <c r="T502" s="11" t="n">
        <f aca="false">S502*Calculator!$B$7</f>
        <v>19200</v>
      </c>
      <c r="U502" s="11" t="n">
        <f aca="false">S502*Calculator!$B$8</f>
        <v>16320</v>
      </c>
      <c r="V502" s="11" t="n">
        <f aca="false">IF(Q502&gt;0,'Tax Tables'!$B$32*MIN(MAX(Q502/'Tax Tables'!$B$32*'Tax Tables'!$B$33,'Tax Tables'!$B$34),'Tax Tables'!$B$35),0)</f>
        <v>135</v>
      </c>
      <c r="W502" s="11" t="n">
        <f aca="false">Calculator!$B$5-P502-U502-V502</f>
        <v>139045</v>
      </c>
      <c r="X502" s="11" t="n">
        <f aca="false">'Tax Tables'!$B$22*(MAX(W502,0)-IF(Calculator!$B$10="Yes",MIN(MAX(W502,0),'Tax Tables'!$B$27)*'Tax Tables'!$B$28+MIN(MAX(MAX(W502,0)-'Tax Tables'!$B$27,0),'Tax Tables'!$B$29)*'Tax Tables'!$B$30,MIN(MAX(W502,0),'Tax Tables'!$B$23)*'Tax Tables'!$B$24+MIN(MAX(MAX(W502,0)-'Tax Tables'!$B$23,0),'Tax Tables'!$B$25)*'Tax Tables'!$B$26))*1-MIN('Tax Tables'!$B$22*(MAX(W502,0)-IF(Calculator!$B$10="Yes",MIN(MAX(W502,0),'Tax Tables'!$B$27)*'Tax Tables'!$B$28+MIN(MAX(MAX(W502,0)-'Tax Tables'!$B$27,0),'Tax Tables'!$B$29)*'Tax Tables'!$B$30,MIN(MAX(W502,0),'Tax Tables'!$B$23)*'Tax Tables'!$B$24+MIN(MAX(MAX(W502,0)-'Tax Tables'!$B$23,0),'Tax Tables'!$B$25)*'Tax Tables'!$B$26))*Calculator!$B$11,Calculator!$B$12)</f>
        <v>11393.825</v>
      </c>
      <c r="Y502" s="11" t="n">
        <f aca="false">MAX(W502,0)-X502</f>
        <v>127651.175</v>
      </c>
      <c r="Z502" s="11" t="n">
        <f aca="false">MIN(IF(P502&gt;0,Calculator!$B$13,0)+T502+Calculator!$B$14,'Tax Tables'!$B$36)</f>
        <v>20200</v>
      </c>
      <c r="AA502" s="11" t="n">
        <f aca="false">MAX(P502-Z502,0)</f>
        <v>224300</v>
      </c>
      <c r="AB502" s="11" t="n">
        <f aca="false">SUMPRODUCT((AA502&gt;'Tax Tables'!$A$5:$A$17)*(AA502-'Tax Tables'!$A$5:$A$17)*'Tax Tables'!$C$5:$C$17)</f>
        <v>25767</v>
      </c>
      <c r="AC502" s="11" t="n">
        <f aca="false">IF(W502&lt;0,-1E+099,P502-T502-AB502+Y502+(T502+U502)*Calculator!$B$9)</f>
        <v>362704.175</v>
      </c>
    </row>
    <row r="503" customFormat="false" ht="15" hidden="false" customHeight="false" outlineLevel="0" collapsed="false">
      <c r="A503" s="11" t="n">
        <f aca="false">490*$B$3</f>
        <v>245000</v>
      </c>
      <c r="B503" s="11" t="n">
        <f aca="false">0</f>
        <v>0</v>
      </c>
      <c r="C503" s="11" t="n">
        <f aca="false">A503-B503</f>
        <v>245000</v>
      </c>
      <c r="D503" s="11" t="n">
        <f aca="false">IF(Calculator!$B$6="Yes",MIN(B503,'Tax Tables'!$B$31*'Tax Tables'!$B$32),0)</f>
        <v>0</v>
      </c>
      <c r="E503" s="11" t="n">
        <f aca="false">D503*Calculator!$B$7</f>
        <v>0</v>
      </c>
      <c r="F503" s="11" t="n">
        <f aca="false">D503*Calculator!$B$8</f>
        <v>0</v>
      </c>
      <c r="G503" s="11" t="n">
        <f aca="false">IF(B503&gt;0,'Tax Tables'!$B$32*MIN(MAX(B503/'Tax Tables'!$B$32*'Tax Tables'!$B$33,'Tax Tables'!$B$34),'Tax Tables'!$B$35),0)</f>
        <v>0</v>
      </c>
      <c r="H503" s="11" t="n">
        <f aca="false">Calculator!$B$5-A503-F503-G503</f>
        <v>155000</v>
      </c>
      <c r="I503" s="11" t="n">
        <f aca="false">'Tax Tables'!$B$22*(MAX(H503,0)-IF(Calculator!$B$10="Yes",MIN(MAX(H503,0),'Tax Tables'!$B$27)*'Tax Tables'!$B$28+MIN(MAX(MAX(H503,0)-'Tax Tables'!$B$27,0),'Tax Tables'!$B$29)*'Tax Tables'!$B$30,MIN(MAX(H503,0),'Tax Tables'!$B$23)*'Tax Tables'!$B$24+MIN(MAX(MAX(H503,0)-'Tax Tables'!$B$23,0),'Tax Tables'!$B$25)*'Tax Tables'!$B$26))*1-MIN('Tax Tables'!$B$22*(MAX(H503,0)-IF(Calculator!$B$10="Yes",MIN(MAX(H503,0),'Tax Tables'!$B$27)*'Tax Tables'!$B$28+MIN(MAX(MAX(H503,0)-'Tax Tables'!$B$27,0),'Tax Tables'!$B$29)*'Tax Tables'!$B$30,MIN(MAX(H503,0),'Tax Tables'!$B$23)*'Tax Tables'!$B$24+MIN(MAX(MAX(H503,0)-'Tax Tables'!$B$23,0),'Tax Tables'!$B$25)*'Tax Tables'!$B$26))*Calculator!$B$11,Calculator!$B$12)</f>
        <v>12750</v>
      </c>
      <c r="J503" s="11" t="n">
        <f aca="false">MAX(H503,0)-I503</f>
        <v>142250</v>
      </c>
      <c r="K503" s="11" t="n">
        <f aca="false">MIN(IF(A503&gt;0,Calculator!$B$13,0)+E503+Calculator!$B$14,'Tax Tables'!$B$36)</f>
        <v>1000</v>
      </c>
      <c r="L503" s="11" t="n">
        <f aca="false">MAX(A503-K503,0)</f>
        <v>244000</v>
      </c>
      <c r="M503" s="11" t="n">
        <f aca="false">SUMPRODUCT((L503&gt;'Tax Tables'!$A$5:$A$17)*(L503-'Tax Tables'!$A$5:$A$17)*'Tax Tables'!$C$5:$C$17)</f>
        <v>29530</v>
      </c>
      <c r="N503" s="11" t="n">
        <f aca="false">IF(H503&lt;0,-1E+099,A503-E503-M503+J503+(E503+F503)*Calculator!$B$9)</f>
        <v>357720</v>
      </c>
      <c r="O503" s="2"/>
      <c r="P503" s="11" t="n">
        <f aca="false">490*$B$3</f>
        <v>245000</v>
      </c>
      <c r="Q503" s="11" t="n">
        <f aca="false">MIN(P503,'Tax Tables'!$B$31*'Tax Tables'!$B$32)</f>
        <v>96000</v>
      </c>
      <c r="R503" s="11" t="n">
        <f aca="false">P503-Q503</f>
        <v>149000</v>
      </c>
      <c r="S503" s="11" t="n">
        <f aca="false">IF(Calculator!$B$6="Yes",MIN(Q503,'Tax Tables'!$B$31*'Tax Tables'!$B$32),0)</f>
        <v>96000</v>
      </c>
      <c r="T503" s="11" t="n">
        <f aca="false">S503*Calculator!$B$7</f>
        <v>19200</v>
      </c>
      <c r="U503" s="11" t="n">
        <f aca="false">S503*Calculator!$B$8</f>
        <v>16320</v>
      </c>
      <c r="V503" s="11" t="n">
        <f aca="false">IF(Q503&gt;0,'Tax Tables'!$B$32*MIN(MAX(Q503/'Tax Tables'!$B$32*'Tax Tables'!$B$33,'Tax Tables'!$B$34),'Tax Tables'!$B$35),0)</f>
        <v>135</v>
      </c>
      <c r="W503" s="11" t="n">
        <f aca="false">Calculator!$B$5-P503-U503-V503</f>
        <v>138545</v>
      </c>
      <c r="X503" s="11" t="n">
        <f aca="false">'Tax Tables'!$B$22*(MAX(W503,0)-IF(Calculator!$B$10="Yes",MIN(MAX(W503,0),'Tax Tables'!$B$27)*'Tax Tables'!$B$28+MIN(MAX(MAX(W503,0)-'Tax Tables'!$B$27,0),'Tax Tables'!$B$29)*'Tax Tables'!$B$30,MIN(MAX(W503,0),'Tax Tables'!$B$23)*'Tax Tables'!$B$24+MIN(MAX(MAX(W503,0)-'Tax Tables'!$B$23,0),'Tax Tables'!$B$25)*'Tax Tables'!$B$26))*1-MIN('Tax Tables'!$B$22*(MAX(W503,0)-IF(Calculator!$B$10="Yes",MIN(MAX(W503,0),'Tax Tables'!$B$27)*'Tax Tables'!$B$28+MIN(MAX(MAX(W503,0)-'Tax Tables'!$B$27,0),'Tax Tables'!$B$29)*'Tax Tables'!$B$30,MIN(MAX(W503,0),'Tax Tables'!$B$23)*'Tax Tables'!$B$24+MIN(MAX(MAX(W503,0)-'Tax Tables'!$B$23,0),'Tax Tables'!$B$25)*'Tax Tables'!$B$26))*Calculator!$B$11,Calculator!$B$12)</f>
        <v>11351.325</v>
      </c>
      <c r="Y503" s="11" t="n">
        <f aca="false">MAX(W503,0)-X503</f>
        <v>127193.675</v>
      </c>
      <c r="Z503" s="11" t="n">
        <f aca="false">MIN(IF(P503&gt;0,Calculator!$B$13,0)+T503+Calculator!$B$14,'Tax Tables'!$B$36)</f>
        <v>20200</v>
      </c>
      <c r="AA503" s="11" t="n">
        <f aca="false">MAX(P503-Z503,0)</f>
        <v>224800</v>
      </c>
      <c r="AB503" s="11" t="n">
        <f aca="false">SUMPRODUCT((AA503&gt;'Tax Tables'!$A$5:$A$17)*(AA503-'Tax Tables'!$A$5:$A$17)*'Tax Tables'!$C$5:$C$17)</f>
        <v>25862</v>
      </c>
      <c r="AC503" s="11" t="n">
        <f aca="false">IF(W503&lt;0,-1E+099,P503-T503-AB503+Y503+(T503+U503)*Calculator!$B$9)</f>
        <v>362651.675</v>
      </c>
    </row>
    <row r="504" customFormat="false" ht="15" hidden="false" customHeight="false" outlineLevel="0" collapsed="false">
      <c r="A504" s="11" t="n">
        <f aca="false">491*$B$3</f>
        <v>245500</v>
      </c>
      <c r="B504" s="11" t="n">
        <f aca="false">0</f>
        <v>0</v>
      </c>
      <c r="C504" s="11" t="n">
        <f aca="false">A504-B504</f>
        <v>245500</v>
      </c>
      <c r="D504" s="11" t="n">
        <f aca="false">IF(Calculator!$B$6="Yes",MIN(B504,'Tax Tables'!$B$31*'Tax Tables'!$B$32),0)</f>
        <v>0</v>
      </c>
      <c r="E504" s="11" t="n">
        <f aca="false">D504*Calculator!$B$7</f>
        <v>0</v>
      </c>
      <c r="F504" s="11" t="n">
        <f aca="false">D504*Calculator!$B$8</f>
        <v>0</v>
      </c>
      <c r="G504" s="11" t="n">
        <f aca="false">IF(B504&gt;0,'Tax Tables'!$B$32*MIN(MAX(B504/'Tax Tables'!$B$32*'Tax Tables'!$B$33,'Tax Tables'!$B$34),'Tax Tables'!$B$35),0)</f>
        <v>0</v>
      </c>
      <c r="H504" s="11" t="n">
        <f aca="false">Calculator!$B$5-A504-F504-G504</f>
        <v>154500</v>
      </c>
      <c r="I504" s="11" t="n">
        <f aca="false">'Tax Tables'!$B$22*(MAX(H504,0)-IF(Calculator!$B$10="Yes",MIN(MAX(H504,0),'Tax Tables'!$B$27)*'Tax Tables'!$B$28+MIN(MAX(MAX(H504,0)-'Tax Tables'!$B$27,0),'Tax Tables'!$B$29)*'Tax Tables'!$B$30,MIN(MAX(H504,0),'Tax Tables'!$B$23)*'Tax Tables'!$B$24+MIN(MAX(MAX(H504,0)-'Tax Tables'!$B$23,0),'Tax Tables'!$B$25)*'Tax Tables'!$B$26))*1-MIN('Tax Tables'!$B$22*(MAX(H504,0)-IF(Calculator!$B$10="Yes",MIN(MAX(H504,0),'Tax Tables'!$B$27)*'Tax Tables'!$B$28+MIN(MAX(MAX(H504,0)-'Tax Tables'!$B$27,0),'Tax Tables'!$B$29)*'Tax Tables'!$B$30,MIN(MAX(H504,0),'Tax Tables'!$B$23)*'Tax Tables'!$B$24+MIN(MAX(MAX(H504,0)-'Tax Tables'!$B$23,0),'Tax Tables'!$B$25)*'Tax Tables'!$B$26))*Calculator!$B$11,Calculator!$B$12)</f>
        <v>12707.5</v>
      </c>
      <c r="J504" s="11" t="n">
        <f aca="false">MAX(H504,0)-I504</f>
        <v>141792.5</v>
      </c>
      <c r="K504" s="11" t="n">
        <f aca="false">MIN(IF(A504&gt;0,Calculator!$B$13,0)+E504+Calculator!$B$14,'Tax Tables'!$B$36)</f>
        <v>1000</v>
      </c>
      <c r="L504" s="11" t="n">
        <f aca="false">MAX(A504-K504,0)</f>
        <v>244500</v>
      </c>
      <c r="M504" s="11" t="n">
        <f aca="false">SUMPRODUCT((L504&gt;'Tax Tables'!$A$5:$A$17)*(L504-'Tax Tables'!$A$5:$A$17)*'Tax Tables'!$C$5:$C$17)</f>
        <v>29627.5</v>
      </c>
      <c r="N504" s="11" t="n">
        <f aca="false">IF(H504&lt;0,-1E+099,A504-E504-M504+J504+(E504+F504)*Calculator!$B$9)</f>
        <v>357665</v>
      </c>
      <c r="O504" s="2"/>
      <c r="P504" s="11" t="n">
        <f aca="false">491*$B$3</f>
        <v>245500</v>
      </c>
      <c r="Q504" s="11" t="n">
        <f aca="false">MIN(P504,'Tax Tables'!$B$31*'Tax Tables'!$B$32)</f>
        <v>96000</v>
      </c>
      <c r="R504" s="11" t="n">
        <f aca="false">P504-Q504</f>
        <v>149500</v>
      </c>
      <c r="S504" s="11" t="n">
        <f aca="false">IF(Calculator!$B$6="Yes",MIN(Q504,'Tax Tables'!$B$31*'Tax Tables'!$B$32),0)</f>
        <v>96000</v>
      </c>
      <c r="T504" s="11" t="n">
        <f aca="false">S504*Calculator!$B$7</f>
        <v>19200</v>
      </c>
      <c r="U504" s="11" t="n">
        <f aca="false">S504*Calculator!$B$8</f>
        <v>16320</v>
      </c>
      <c r="V504" s="11" t="n">
        <f aca="false">IF(Q504&gt;0,'Tax Tables'!$B$32*MIN(MAX(Q504/'Tax Tables'!$B$32*'Tax Tables'!$B$33,'Tax Tables'!$B$34),'Tax Tables'!$B$35),0)</f>
        <v>135</v>
      </c>
      <c r="W504" s="11" t="n">
        <f aca="false">Calculator!$B$5-P504-U504-V504</f>
        <v>138045</v>
      </c>
      <c r="X504" s="11" t="n">
        <f aca="false">'Tax Tables'!$B$22*(MAX(W504,0)-IF(Calculator!$B$10="Yes",MIN(MAX(W504,0),'Tax Tables'!$B$27)*'Tax Tables'!$B$28+MIN(MAX(MAX(W504,0)-'Tax Tables'!$B$27,0),'Tax Tables'!$B$29)*'Tax Tables'!$B$30,MIN(MAX(W504,0),'Tax Tables'!$B$23)*'Tax Tables'!$B$24+MIN(MAX(MAX(W504,0)-'Tax Tables'!$B$23,0),'Tax Tables'!$B$25)*'Tax Tables'!$B$26))*1-MIN('Tax Tables'!$B$22*(MAX(W504,0)-IF(Calculator!$B$10="Yes",MIN(MAX(W504,0),'Tax Tables'!$B$27)*'Tax Tables'!$B$28+MIN(MAX(MAX(W504,0)-'Tax Tables'!$B$27,0),'Tax Tables'!$B$29)*'Tax Tables'!$B$30,MIN(MAX(W504,0),'Tax Tables'!$B$23)*'Tax Tables'!$B$24+MIN(MAX(MAX(W504,0)-'Tax Tables'!$B$23,0),'Tax Tables'!$B$25)*'Tax Tables'!$B$26))*Calculator!$B$11,Calculator!$B$12)</f>
        <v>11308.825</v>
      </c>
      <c r="Y504" s="11" t="n">
        <f aca="false">MAX(W504,0)-X504</f>
        <v>126736.175</v>
      </c>
      <c r="Z504" s="11" t="n">
        <f aca="false">MIN(IF(P504&gt;0,Calculator!$B$13,0)+T504+Calculator!$B$14,'Tax Tables'!$B$36)</f>
        <v>20200</v>
      </c>
      <c r="AA504" s="11" t="n">
        <f aca="false">MAX(P504-Z504,0)</f>
        <v>225300</v>
      </c>
      <c r="AB504" s="11" t="n">
        <f aca="false">SUMPRODUCT((AA504&gt;'Tax Tables'!$A$5:$A$17)*(AA504-'Tax Tables'!$A$5:$A$17)*'Tax Tables'!$C$5:$C$17)</f>
        <v>25957</v>
      </c>
      <c r="AC504" s="11" t="n">
        <f aca="false">IF(W504&lt;0,-1E+099,P504-T504-AB504+Y504+(T504+U504)*Calculator!$B$9)</f>
        <v>362599.175</v>
      </c>
    </row>
    <row r="505" customFormat="false" ht="15" hidden="false" customHeight="false" outlineLevel="0" collapsed="false">
      <c r="A505" s="11" t="n">
        <f aca="false">492*$B$3</f>
        <v>246000</v>
      </c>
      <c r="B505" s="11" t="n">
        <f aca="false">0</f>
        <v>0</v>
      </c>
      <c r="C505" s="11" t="n">
        <f aca="false">A505-B505</f>
        <v>246000</v>
      </c>
      <c r="D505" s="11" t="n">
        <f aca="false">IF(Calculator!$B$6="Yes",MIN(B505,'Tax Tables'!$B$31*'Tax Tables'!$B$32),0)</f>
        <v>0</v>
      </c>
      <c r="E505" s="11" t="n">
        <f aca="false">D505*Calculator!$B$7</f>
        <v>0</v>
      </c>
      <c r="F505" s="11" t="n">
        <f aca="false">D505*Calculator!$B$8</f>
        <v>0</v>
      </c>
      <c r="G505" s="11" t="n">
        <f aca="false">IF(B505&gt;0,'Tax Tables'!$B$32*MIN(MAX(B505/'Tax Tables'!$B$32*'Tax Tables'!$B$33,'Tax Tables'!$B$34),'Tax Tables'!$B$35),0)</f>
        <v>0</v>
      </c>
      <c r="H505" s="11" t="n">
        <f aca="false">Calculator!$B$5-A505-F505-G505</f>
        <v>154000</v>
      </c>
      <c r="I505" s="11" t="n">
        <f aca="false">'Tax Tables'!$B$22*(MAX(H505,0)-IF(Calculator!$B$10="Yes",MIN(MAX(H505,0),'Tax Tables'!$B$27)*'Tax Tables'!$B$28+MIN(MAX(MAX(H505,0)-'Tax Tables'!$B$27,0),'Tax Tables'!$B$29)*'Tax Tables'!$B$30,MIN(MAX(H505,0),'Tax Tables'!$B$23)*'Tax Tables'!$B$24+MIN(MAX(MAX(H505,0)-'Tax Tables'!$B$23,0),'Tax Tables'!$B$25)*'Tax Tables'!$B$26))*1-MIN('Tax Tables'!$B$22*(MAX(H505,0)-IF(Calculator!$B$10="Yes",MIN(MAX(H505,0),'Tax Tables'!$B$27)*'Tax Tables'!$B$28+MIN(MAX(MAX(H505,0)-'Tax Tables'!$B$27,0),'Tax Tables'!$B$29)*'Tax Tables'!$B$30,MIN(MAX(H505,0),'Tax Tables'!$B$23)*'Tax Tables'!$B$24+MIN(MAX(MAX(H505,0)-'Tax Tables'!$B$23,0),'Tax Tables'!$B$25)*'Tax Tables'!$B$26))*Calculator!$B$11,Calculator!$B$12)</f>
        <v>12665</v>
      </c>
      <c r="J505" s="11" t="n">
        <f aca="false">MAX(H505,0)-I505</f>
        <v>141335</v>
      </c>
      <c r="K505" s="11" t="n">
        <f aca="false">MIN(IF(A505&gt;0,Calculator!$B$13,0)+E505+Calculator!$B$14,'Tax Tables'!$B$36)</f>
        <v>1000</v>
      </c>
      <c r="L505" s="11" t="n">
        <f aca="false">MAX(A505-K505,0)</f>
        <v>245000</v>
      </c>
      <c r="M505" s="11" t="n">
        <f aca="false">SUMPRODUCT((L505&gt;'Tax Tables'!$A$5:$A$17)*(L505-'Tax Tables'!$A$5:$A$17)*'Tax Tables'!$C$5:$C$17)</f>
        <v>29725</v>
      </c>
      <c r="N505" s="11" t="n">
        <f aca="false">IF(H505&lt;0,-1E+099,A505-E505-M505+J505+(E505+F505)*Calculator!$B$9)</f>
        <v>357610</v>
      </c>
      <c r="O505" s="2"/>
      <c r="P505" s="11" t="n">
        <f aca="false">492*$B$3</f>
        <v>246000</v>
      </c>
      <c r="Q505" s="11" t="n">
        <f aca="false">MIN(P505,'Tax Tables'!$B$31*'Tax Tables'!$B$32)</f>
        <v>96000</v>
      </c>
      <c r="R505" s="11" t="n">
        <f aca="false">P505-Q505</f>
        <v>150000</v>
      </c>
      <c r="S505" s="11" t="n">
        <f aca="false">IF(Calculator!$B$6="Yes",MIN(Q505,'Tax Tables'!$B$31*'Tax Tables'!$B$32),0)</f>
        <v>96000</v>
      </c>
      <c r="T505" s="11" t="n">
        <f aca="false">S505*Calculator!$B$7</f>
        <v>19200</v>
      </c>
      <c r="U505" s="11" t="n">
        <f aca="false">S505*Calculator!$B$8</f>
        <v>16320</v>
      </c>
      <c r="V505" s="11" t="n">
        <f aca="false">IF(Q505&gt;0,'Tax Tables'!$B$32*MIN(MAX(Q505/'Tax Tables'!$B$32*'Tax Tables'!$B$33,'Tax Tables'!$B$34),'Tax Tables'!$B$35),0)</f>
        <v>135</v>
      </c>
      <c r="W505" s="11" t="n">
        <f aca="false">Calculator!$B$5-P505-U505-V505</f>
        <v>137545</v>
      </c>
      <c r="X505" s="11" t="n">
        <f aca="false">'Tax Tables'!$B$22*(MAX(W505,0)-IF(Calculator!$B$10="Yes",MIN(MAX(W505,0),'Tax Tables'!$B$27)*'Tax Tables'!$B$28+MIN(MAX(MAX(W505,0)-'Tax Tables'!$B$27,0),'Tax Tables'!$B$29)*'Tax Tables'!$B$30,MIN(MAX(W505,0),'Tax Tables'!$B$23)*'Tax Tables'!$B$24+MIN(MAX(MAX(W505,0)-'Tax Tables'!$B$23,0),'Tax Tables'!$B$25)*'Tax Tables'!$B$26))*1-MIN('Tax Tables'!$B$22*(MAX(W505,0)-IF(Calculator!$B$10="Yes",MIN(MAX(W505,0),'Tax Tables'!$B$27)*'Tax Tables'!$B$28+MIN(MAX(MAX(W505,0)-'Tax Tables'!$B$27,0),'Tax Tables'!$B$29)*'Tax Tables'!$B$30,MIN(MAX(W505,0),'Tax Tables'!$B$23)*'Tax Tables'!$B$24+MIN(MAX(MAX(W505,0)-'Tax Tables'!$B$23,0),'Tax Tables'!$B$25)*'Tax Tables'!$B$26))*Calculator!$B$11,Calculator!$B$12)</f>
        <v>11266.325</v>
      </c>
      <c r="Y505" s="11" t="n">
        <f aca="false">MAX(W505,0)-X505</f>
        <v>126278.675</v>
      </c>
      <c r="Z505" s="11" t="n">
        <f aca="false">MIN(IF(P505&gt;0,Calculator!$B$13,0)+T505+Calculator!$B$14,'Tax Tables'!$B$36)</f>
        <v>20200</v>
      </c>
      <c r="AA505" s="11" t="n">
        <f aca="false">MAX(P505-Z505,0)</f>
        <v>225800</v>
      </c>
      <c r="AB505" s="11" t="n">
        <f aca="false">SUMPRODUCT((AA505&gt;'Tax Tables'!$A$5:$A$17)*(AA505-'Tax Tables'!$A$5:$A$17)*'Tax Tables'!$C$5:$C$17)</f>
        <v>26052</v>
      </c>
      <c r="AC505" s="11" t="n">
        <f aca="false">IF(W505&lt;0,-1E+099,P505-T505-AB505+Y505+(T505+U505)*Calculator!$B$9)</f>
        <v>362546.675</v>
      </c>
    </row>
    <row r="506" customFormat="false" ht="15" hidden="false" customHeight="false" outlineLevel="0" collapsed="false">
      <c r="A506" s="11" t="n">
        <f aca="false">493*$B$3</f>
        <v>246500</v>
      </c>
      <c r="B506" s="11" t="n">
        <f aca="false">0</f>
        <v>0</v>
      </c>
      <c r="C506" s="11" t="n">
        <f aca="false">A506-B506</f>
        <v>246500</v>
      </c>
      <c r="D506" s="11" t="n">
        <f aca="false">IF(Calculator!$B$6="Yes",MIN(B506,'Tax Tables'!$B$31*'Tax Tables'!$B$32),0)</f>
        <v>0</v>
      </c>
      <c r="E506" s="11" t="n">
        <f aca="false">D506*Calculator!$B$7</f>
        <v>0</v>
      </c>
      <c r="F506" s="11" t="n">
        <f aca="false">D506*Calculator!$B$8</f>
        <v>0</v>
      </c>
      <c r="G506" s="11" t="n">
        <f aca="false">IF(B506&gt;0,'Tax Tables'!$B$32*MIN(MAX(B506/'Tax Tables'!$B$32*'Tax Tables'!$B$33,'Tax Tables'!$B$34),'Tax Tables'!$B$35),0)</f>
        <v>0</v>
      </c>
      <c r="H506" s="11" t="n">
        <f aca="false">Calculator!$B$5-A506-F506-G506</f>
        <v>153500</v>
      </c>
      <c r="I506" s="11" t="n">
        <f aca="false">'Tax Tables'!$B$22*(MAX(H506,0)-IF(Calculator!$B$10="Yes",MIN(MAX(H506,0),'Tax Tables'!$B$27)*'Tax Tables'!$B$28+MIN(MAX(MAX(H506,0)-'Tax Tables'!$B$27,0),'Tax Tables'!$B$29)*'Tax Tables'!$B$30,MIN(MAX(H506,0),'Tax Tables'!$B$23)*'Tax Tables'!$B$24+MIN(MAX(MAX(H506,0)-'Tax Tables'!$B$23,0),'Tax Tables'!$B$25)*'Tax Tables'!$B$26))*1-MIN('Tax Tables'!$B$22*(MAX(H506,0)-IF(Calculator!$B$10="Yes",MIN(MAX(H506,0),'Tax Tables'!$B$27)*'Tax Tables'!$B$28+MIN(MAX(MAX(H506,0)-'Tax Tables'!$B$27,0),'Tax Tables'!$B$29)*'Tax Tables'!$B$30,MIN(MAX(H506,0),'Tax Tables'!$B$23)*'Tax Tables'!$B$24+MIN(MAX(MAX(H506,0)-'Tax Tables'!$B$23,0),'Tax Tables'!$B$25)*'Tax Tables'!$B$26))*Calculator!$B$11,Calculator!$B$12)</f>
        <v>12622.5</v>
      </c>
      <c r="J506" s="11" t="n">
        <f aca="false">MAX(H506,0)-I506</f>
        <v>140877.5</v>
      </c>
      <c r="K506" s="11" t="n">
        <f aca="false">MIN(IF(A506&gt;0,Calculator!$B$13,0)+E506+Calculator!$B$14,'Tax Tables'!$B$36)</f>
        <v>1000</v>
      </c>
      <c r="L506" s="11" t="n">
        <f aca="false">MAX(A506-K506,0)</f>
        <v>245500</v>
      </c>
      <c r="M506" s="11" t="n">
        <f aca="false">SUMPRODUCT((L506&gt;'Tax Tables'!$A$5:$A$17)*(L506-'Tax Tables'!$A$5:$A$17)*'Tax Tables'!$C$5:$C$17)</f>
        <v>29822.5</v>
      </c>
      <c r="N506" s="11" t="n">
        <f aca="false">IF(H506&lt;0,-1E+099,A506-E506-M506+J506+(E506+F506)*Calculator!$B$9)</f>
        <v>357555</v>
      </c>
      <c r="O506" s="2"/>
      <c r="P506" s="11" t="n">
        <f aca="false">493*$B$3</f>
        <v>246500</v>
      </c>
      <c r="Q506" s="11" t="n">
        <f aca="false">MIN(P506,'Tax Tables'!$B$31*'Tax Tables'!$B$32)</f>
        <v>96000</v>
      </c>
      <c r="R506" s="11" t="n">
        <f aca="false">P506-Q506</f>
        <v>150500</v>
      </c>
      <c r="S506" s="11" t="n">
        <f aca="false">IF(Calculator!$B$6="Yes",MIN(Q506,'Tax Tables'!$B$31*'Tax Tables'!$B$32),0)</f>
        <v>96000</v>
      </c>
      <c r="T506" s="11" t="n">
        <f aca="false">S506*Calculator!$B$7</f>
        <v>19200</v>
      </c>
      <c r="U506" s="11" t="n">
        <f aca="false">S506*Calculator!$B$8</f>
        <v>16320</v>
      </c>
      <c r="V506" s="11" t="n">
        <f aca="false">IF(Q506&gt;0,'Tax Tables'!$B$32*MIN(MAX(Q506/'Tax Tables'!$B$32*'Tax Tables'!$B$33,'Tax Tables'!$B$34),'Tax Tables'!$B$35),0)</f>
        <v>135</v>
      </c>
      <c r="W506" s="11" t="n">
        <f aca="false">Calculator!$B$5-P506-U506-V506</f>
        <v>137045</v>
      </c>
      <c r="X506" s="11" t="n">
        <f aca="false">'Tax Tables'!$B$22*(MAX(W506,0)-IF(Calculator!$B$10="Yes",MIN(MAX(W506,0),'Tax Tables'!$B$27)*'Tax Tables'!$B$28+MIN(MAX(MAX(W506,0)-'Tax Tables'!$B$27,0),'Tax Tables'!$B$29)*'Tax Tables'!$B$30,MIN(MAX(W506,0),'Tax Tables'!$B$23)*'Tax Tables'!$B$24+MIN(MAX(MAX(W506,0)-'Tax Tables'!$B$23,0),'Tax Tables'!$B$25)*'Tax Tables'!$B$26))*1-MIN('Tax Tables'!$B$22*(MAX(W506,0)-IF(Calculator!$B$10="Yes",MIN(MAX(W506,0),'Tax Tables'!$B$27)*'Tax Tables'!$B$28+MIN(MAX(MAX(W506,0)-'Tax Tables'!$B$27,0),'Tax Tables'!$B$29)*'Tax Tables'!$B$30,MIN(MAX(W506,0),'Tax Tables'!$B$23)*'Tax Tables'!$B$24+MIN(MAX(MAX(W506,0)-'Tax Tables'!$B$23,0),'Tax Tables'!$B$25)*'Tax Tables'!$B$26))*Calculator!$B$11,Calculator!$B$12)</f>
        <v>11223.825</v>
      </c>
      <c r="Y506" s="11" t="n">
        <f aca="false">MAX(W506,0)-X506</f>
        <v>125821.175</v>
      </c>
      <c r="Z506" s="11" t="n">
        <f aca="false">MIN(IF(P506&gt;0,Calculator!$B$13,0)+T506+Calculator!$B$14,'Tax Tables'!$B$36)</f>
        <v>20200</v>
      </c>
      <c r="AA506" s="11" t="n">
        <f aca="false">MAX(P506-Z506,0)</f>
        <v>226300</v>
      </c>
      <c r="AB506" s="11" t="n">
        <f aca="false">SUMPRODUCT((AA506&gt;'Tax Tables'!$A$5:$A$17)*(AA506-'Tax Tables'!$A$5:$A$17)*'Tax Tables'!$C$5:$C$17)</f>
        <v>26147</v>
      </c>
      <c r="AC506" s="11" t="n">
        <f aca="false">IF(W506&lt;0,-1E+099,P506-T506-AB506+Y506+(T506+U506)*Calculator!$B$9)</f>
        <v>362494.175</v>
      </c>
    </row>
    <row r="507" customFormat="false" ht="15" hidden="false" customHeight="false" outlineLevel="0" collapsed="false">
      <c r="A507" s="11" t="n">
        <f aca="false">494*$B$3</f>
        <v>247000</v>
      </c>
      <c r="B507" s="11" t="n">
        <f aca="false">0</f>
        <v>0</v>
      </c>
      <c r="C507" s="11" t="n">
        <f aca="false">A507-B507</f>
        <v>247000</v>
      </c>
      <c r="D507" s="11" t="n">
        <f aca="false">IF(Calculator!$B$6="Yes",MIN(B507,'Tax Tables'!$B$31*'Tax Tables'!$B$32),0)</f>
        <v>0</v>
      </c>
      <c r="E507" s="11" t="n">
        <f aca="false">D507*Calculator!$B$7</f>
        <v>0</v>
      </c>
      <c r="F507" s="11" t="n">
        <f aca="false">D507*Calculator!$B$8</f>
        <v>0</v>
      </c>
      <c r="G507" s="11" t="n">
        <f aca="false">IF(B507&gt;0,'Tax Tables'!$B$32*MIN(MAX(B507/'Tax Tables'!$B$32*'Tax Tables'!$B$33,'Tax Tables'!$B$34),'Tax Tables'!$B$35),0)</f>
        <v>0</v>
      </c>
      <c r="H507" s="11" t="n">
        <f aca="false">Calculator!$B$5-A507-F507-G507</f>
        <v>153000</v>
      </c>
      <c r="I507" s="11" t="n">
        <f aca="false">'Tax Tables'!$B$22*(MAX(H507,0)-IF(Calculator!$B$10="Yes",MIN(MAX(H507,0),'Tax Tables'!$B$27)*'Tax Tables'!$B$28+MIN(MAX(MAX(H507,0)-'Tax Tables'!$B$27,0),'Tax Tables'!$B$29)*'Tax Tables'!$B$30,MIN(MAX(H507,0),'Tax Tables'!$B$23)*'Tax Tables'!$B$24+MIN(MAX(MAX(H507,0)-'Tax Tables'!$B$23,0),'Tax Tables'!$B$25)*'Tax Tables'!$B$26))*1-MIN('Tax Tables'!$B$22*(MAX(H507,0)-IF(Calculator!$B$10="Yes",MIN(MAX(H507,0),'Tax Tables'!$B$27)*'Tax Tables'!$B$28+MIN(MAX(MAX(H507,0)-'Tax Tables'!$B$27,0),'Tax Tables'!$B$29)*'Tax Tables'!$B$30,MIN(MAX(H507,0),'Tax Tables'!$B$23)*'Tax Tables'!$B$24+MIN(MAX(MAX(H507,0)-'Tax Tables'!$B$23,0),'Tax Tables'!$B$25)*'Tax Tables'!$B$26))*Calculator!$B$11,Calculator!$B$12)</f>
        <v>12580</v>
      </c>
      <c r="J507" s="11" t="n">
        <f aca="false">MAX(H507,0)-I507</f>
        <v>140420</v>
      </c>
      <c r="K507" s="11" t="n">
        <f aca="false">MIN(IF(A507&gt;0,Calculator!$B$13,0)+E507+Calculator!$B$14,'Tax Tables'!$B$36)</f>
        <v>1000</v>
      </c>
      <c r="L507" s="11" t="n">
        <f aca="false">MAX(A507-K507,0)</f>
        <v>246000</v>
      </c>
      <c r="M507" s="11" t="n">
        <f aca="false">SUMPRODUCT((L507&gt;'Tax Tables'!$A$5:$A$17)*(L507-'Tax Tables'!$A$5:$A$17)*'Tax Tables'!$C$5:$C$17)</f>
        <v>29920</v>
      </c>
      <c r="N507" s="11" t="n">
        <f aca="false">IF(H507&lt;0,-1E+099,A507-E507-M507+J507+(E507+F507)*Calculator!$B$9)</f>
        <v>357500</v>
      </c>
      <c r="O507" s="2"/>
      <c r="P507" s="11" t="n">
        <f aca="false">494*$B$3</f>
        <v>247000</v>
      </c>
      <c r="Q507" s="11" t="n">
        <f aca="false">MIN(P507,'Tax Tables'!$B$31*'Tax Tables'!$B$32)</f>
        <v>96000</v>
      </c>
      <c r="R507" s="11" t="n">
        <f aca="false">P507-Q507</f>
        <v>151000</v>
      </c>
      <c r="S507" s="11" t="n">
        <f aca="false">IF(Calculator!$B$6="Yes",MIN(Q507,'Tax Tables'!$B$31*'Tax Tables'!$B$32),0)</f>
        <v>96000</v>
      </c>
      <c r="T507" s="11" t="n">
        <f aca="false">S507*Calculator!$B$7</f>
        <v>19200</v>
      </c>
      <c r="U507" s="11" t="n">
        <f aca="false">S507*Calculator!$B$8</f>
        <v>16320</v>
      </c>
      <c r="V507" s="11" t="n">
        <f aca="false">IF(Q507&gt;0,'Tax Tables'!$B$32*MIN(MAX(Q507/'Tax Tables'!$B$32*'Tax Tables'!$B$33,'Tax Tables'!$B$34),'Tax Tables'!$B$35),0)</f>
        <v>135</v>
      </c>
      <c r="W507" s="11" t="n">
        <f aca="false">Calculator!$B$5-P507-U507-V507</f>
        <v>136545</v>
      </c>
      <c r="X507" s="11" t="n">
        <f aca="false">'Tax Tables'!$B$22*(MAX(W507,0)-IF(Calculator!$B$10="Yes",MIN(MAX(W507,0),'Tax Tables'!$B$27)*'Tax Tables'!$B$28+MIN(MAX(MAX(W507,0)-'Tax Tables'!$B$27,0),'Tax Tables'!$B$29)*'Tax Tables'!$B$30,MIN(MAX(W507,0),'Tax Tables'!$B$23)*'Tax Tables'!$B$24+MIN(MAX(MAX(W507,0)-'Tax Tables'!$B$23,0),'Tax Tables'!$B$25)*'Tax Tables'!$B$26))*1-MIN('Tax Tables'!$B$22*(MAX(W507,0)-IF(Calculator!$B$10="Yes",MIN(MAX(W507,0),'Tax Tables'!$B$27)*'Tax Tables'!$B$28+MIN(MAX(MAX(W507,0)-'Tax Tables'!$B$27,0),'Tax Tables'!$B$29)*'Tax Tables'!$B$30,MIN(MAX(W507,0),'Tax Tables'!$B$23)*'Tax Tables'!$B$24+MIN(MAX(MAX(W507,0)-'Tax Tables'!$B$23,0),'Tax Tables'!$B$25)*'Tax Tables'!$B$26))*Calculator!$B$11,Calculator!$B$12)</f>
        <v>11181.325</v>
      </c>
      <c r="Y507" s="11" t="n">
        <f aca="false">MAX(W507,0)-X507</f>
        <v>125363.675</v>
      </c>
      <c r="Z507" s="11" t="n">
        <f aca="false">MIN(IF(P507&gt;0,Calculator!$B$13,0)+T507+Calculator!$B$14,'Tax Tables'!$B$36)</f>
        <v>20200</v>
      </c>
      <c r="AA507" s="11" t="n">
        <f aca="false">MAX(P507-Z507,0)</f>
        <v>226800</v>
      </c>
      <c r="AB507" s="11" t="n">
        <f aca="false">SUMPRODUCT((AA507&gt;'Tax Tables'!$A$5:$A$17)*(AA507-'Tax Tables'!$A$5:$A$17)*'Tax Tables'!$C$5:$C$17)</f>
        <v>26242</v>
      </c>
      <c r="AC507" s="11" t="n">
        <f aca="false">IF(W507&lt;0,-1E+099,P507-T507-AB507+Y507+(T507+U507)*Calculator!$B$9)</f>
        <v>362441.675</v>
      </c>
    </row>
    <row r="508" customFormat="false" ht="15" hidden="false" customHeight="false" outlineLevel="0" collapsed="false">
      <c r="A508" s="11" t="n">
        <f aca="false">495*$B$3</f>
        <v>247500</v>
      </c>
      <c r="B508" s="11" t="n">
        <f aca="false">0</f>
        <v>0</v>
      </c>
      <c r="C508" s="11" t="n">
        <f aca="false">A508-B508</f>
        <v>247500</v>
      </c>
      <c r="D508" s="11" t="n">
        <f aca="false">IF(Calculator!$B$6="Yes",MIN(B508,'Tax Tables'!$B$31*'Tax Tables'!$B$32),0)</f>
        <v>0</v>
      </c>
      <c r="E508" s="11" t="n">
        <f aca="false">D508*Calculator!$B$7</f>
        <v>0</v>
      </c>
      <c r="F508" s="11" t="n">
        <f aca="false">D508*Calculator!$B$8</f>
        <v>0</v>
      </c>
      <c r="G508" s="11" t="n">
        <f aca="false">IF(B508&gt;0,'Tax Tables'!$B$32*MIN(MAX(B508/'Tax Tables'!$B$32*'Tax Tables'!$B$33,'Tax Tables'!$B$34),'Tax Tables'!$B$35),0)</f>
        <v>0</v>
      </c>
      <c r="H508" s="11" t="n">
        <f aca="false">Calculator!$B$5-A508-F508-G508</f>
        <v>152500</v>
      </c>
      <c r="I508" s="11" t="n">
        <f aca="false">'Tax Tables'!$B$22*(MAX(H508,0)-IF(Calculator!$B$10="Yes",MIN(MAX(H508,0),'Tax Tables'!$B$27)*'Tax Tables'!$B$28+MIN(MAX(MAX(H508,0)-'Tax Tables'!$B$27,0),'Tax Tables'!$B$29)*'Tax Tables'!$B$30,MIN(MAX(H508,0),'Tax Tables'!$B$23)*'Tax Tables'!$B$24+MIN(MAX(MAX(H508,0)-'Tax Tables'!$B$23,0),'Tax Tables'!$B$25)*'Tax Tables'!$B$26))*1-MIN('Tax Tables'!$B$22*(MAX(H508,0)-IF(Calculator!$B$10="Yes",MIN(MAX(H508,0),'Tax Tables'!$B$27)*'Tax Tables'!$B$28+MIN(MAX(MAX(H508,0)-'Tax Tables'!$B$27,0),'Tax Tables'!$B$29)*'Tax Tables'!$B$30,MIN(MAX(H508,0),'Tax Tables'!$B$23)*'Tax Tables'!$B$24+MIN(MAX(MAX(H508,0)-'Tax Tables'!$B$23,0),'Tax Tables'!$B$25)*'Tax Tables'!$B$26))*Calculator!$B$11,Calculator!$B$12)</f>
        <v>12537.5</v>
      </c>
      <c r="J508" s="11" t="n">
        <f aca="false">MAX(H508,0)-I508</f>
        <v>139962.5</v>
      </c>
      <c r="K508" s="11" t="n">
        <f aca="false">MIN(IF(A508&gt;0,Calculator!$B$13,0)+E508+Calculator!$B$14,'Tax Tables'!$B$36)</f>
        <v>1000</v>
      </c>
      <c r="L508" s="11" t="n">
        <f aca="false">MAX(A508-K508,0)</f>
        <v>246500</v>
      </c>
      <c r="M508" s="11" t="n">
        <f aca="false">SUMPRODUCT((L508&gt;'Tax Tables'!$A$5:$A$17)*(L508-'Tax Tables'!$A$5:$A$17)*'Tax Tables'!$C$5:$C$17)</f>
        <v>30017.5</v>
      </c>
      <c r="N508" s="11" t="n">
        <f aca="false">IF(H508&lt;0,-1E+099,A508-E508-M508+J508+(E508+F508)*Calculator!$B$9)</f>
        <v>357445</v>
      </c>
      <c r="O508" s="2"/>
      <c r="P508" s="11" t="n">
        <f aca="false">495*$B$3</f>
        <v>247500</v>
      </c>
      <c r="Q508" s="11" t="n">
        <f aca="false">MIN(P508,'Tax Tables'!$B$31*'Tax Tables'!$B$32)</f>
        <v>96000</v>
      </c>
      <c r="R508" s="11" t="n">
        <f aca="false">P508-Q508</f>
        <v>151500</v>
      </c>
      <c r="S508" s="11" t="n">
        <f aca="false">IF(Calculator!$B$6="Yes",MIN(Q508,'Tax Tables'!$B$31*'Tax Tables'!$B$32),0)</f>
        <v>96000</v>
      </c>
      <c r="T508" s="11" t="n">
        <f aca="false">S508*Calculator!$B$7</f>
        <v>19200</v>
      </c>
      <c r="U508" s="11" t="n">
        <f aca="false">S508*Calculator!$B$8</f>
        <v>16320</v>
      </c>
      <c r="V508" s="11" t="n">
        <f aca="false">IF(Q508&gt;0,'Tax Tables'!$B$32*MIN(MAX(Q508/'Tax Tables'!$B$32*'Tax Tables'!$B$33,'Tax Tables'!$B$34),'Tax Tables'!$B$35),0)</f>
        <v>135</v>
      </c>
      <c r="W508" s="11" t="n">
        <f aca="false">Calculator!$B$5-P508-U508-V508</f>
        <v>136045</v>
      </c>
      <c r="X508" s="11" t="n">
        <f aca="false">'Tax Tables'!$B$22*(MAX(W508,0)-IF(Calculator!$B$10="Yes",MIN(MAX(W508,0),'Tax Tables'!$B$27)*'Tax Tables'!$B$28+MIN(MAX(MAX(W508,0)-'Tax Tables'!$B$27,0),'Tax Tables'!$B$29)*'Tax Tables'!$B$30,MIN(MAX(W508,0),'Tax Tables'!$B$23)*'Tax Tables'!$B$24+MIN(MAX(MAX(W508,0)-'Tax Tables'!$B$23,0),'Tax Tables'!$B$25)*'Tax Tables'!$B$26))*1-MIN('Tax Tables'!$B$22*(MAX(W508,0)-IF(Calculator!$B$10="Yes",MIN(MAX(W508,0),'Tax Tables'!$B$27)*'Tax Tables'!$B$28+MIN(MAX(MAX(W508,0)-'Tax Tables'!$B$27,0),'Tax Tables'!$B$29)*'Tax Tables'!$B$30,MIN(MAX(W508,0),'Tax Tables'!$B$23)*'Tax Tables'!$B$24+MIN(MAX(MAX(W508,0)-'Tax Tables'!$B$23,0),'Tax Tables'!$B$25)*'Tax Tables'!$B$26))*Calculator!$B$11,Calculator!$B$12)</f>
        <v>11138.825</v>
      </c>
      <c r="Y508" s="11" t="n">
        <f aca="false">MAX(W508,0)-X508</f>
        <v>124906.175</v>
      </c>
      <c r="Z508" s="11" t="n">
        <f aca="false">MIN(IF(P508&gt;0,Calculator!$B$13,0)+T508+Calculator!$B$14,'Tax Tables'!$B$36)</f>
        <v>20200</v>
      </c>
      <c r="AA508" s="11" t="n">
        <f aca="false">MAX(P508-Z508,0)</f>
        <v>227300</v>
      </c>
      <c r="AB508" s="11" t="n">
        <f aca="false">SUMPRODUCT((AA508&gt;'Tax Tables'!$A$5:$A$17)*(AA508-'Tax Tables'!$A$5:$A$17)*'Tax Tables'!$C$5:$C$17)</f>
        <v>26337</v>
      </c>
      <c r="AC508" s="11" t="n">
        <f aca="false">IF(W508&lt;0,-1E+099,P508-T508-AB508+Y508+(T508+U508)*Calculator!$B$9)</f>
        <v>362389.175</v>
      </c>
    </row>
    <row r="509" customFormat="false" ht="15" hidden="false" customHeight="false" outlineLevel="0" collapsed="false">
      <c r="A509" s="11" t="n">
        <f aca="false">496*$B$3</f>
        <v>248000</v>
      </c>
      <c r="B509" s="11" t="n">
        <f aca="false">0</f>
        <v>0</v>
      </c>
      <c r="C509" s="11" t="n">
        <f aca="false">A509-B509</f>
        <v>248000</v>
      </c>
      <c r="D509" s="11" t="n">
        <f aca="false">IF(Calculator!$B$6="Yes",MIN(B509,'Tax Tables'!$B$31*'Tax Tables'!$B$32),0)</f>
        <v>0</v>
      </c>
      <c r="E509" s="11" t="n">
        <f aca="false">D509*Calculator!$B$7</f>
        <v>0</v>
      </c>
      <c r="F509" s="11" t="n">
        <f aca="false">D509*Calculator!$B$8</f>
        <v>0</v>
      </c>
      <c r="G509" s="11" t="n">
        <f aca="false">IF(B509&gt;0,'Tax Tables'!$B$32*MIN(MAX(B509/'Tax Tables'!$B$32*'Tax Tables'!$B$33,'Tax Tables'!$B$34),'Tax Tables'!$B$35),0)</f>
        <v>0</v>
      </c>
      <c r="H509" s="11" t="n">
        <f aca="false">Calculator!$B$5-A509-F509-G509</f>
        <v>152000</v>
      </c>
      <c r="I509" s="11" t="n">
        <f aca="false">'Tax Tables'!$B$22*(MAX(H509,0)-IF(Calculator!$B$10="Yes",MIN(MAX(H509,0),'Tax Tables'!$B$27)*'Tax Tables'!$B$28+MIN(MAX(MAX(H509,0)-'Tax Tables'!$B$27,0),'Tax Tables'!$B$29)*'Tax Tables'!$B$30,MIN(MAX(H509,0),'Tax Tables'!$B$23)*'Tax Tables'!$B$24+MIN(MAX(MAX(H509,0)-'Tax Tables'!$B$23,0),'Tax Tables'!$B$25)*'Tax Tables'!$B$26))*1-MIN('Tax Tables'!$B$22*(MAX(H509,0)-IF(Calculator!$B$10="Yes",MIN(MAX(H509,0),'Tax Tables'!$B$27)*'Tax Tables'!$B$28+MIN(MAX(MAX(H509,0)-'Tax Tables'!$B$27,0),'Tax Tables'!$B$29)*'Tax Tables'!$B$30,MIN(MAX(H509,0),'Tax Tables'!$B$23)*'Tax Tables'!$B$24+MIN(MAX(MAX(H509,0)-'Tax Tables'!$B$23,0),'Tax Tables'!$B$25)*'Tax Tables'!$B$26))*Calculator!$B$11,Calculator!$B$12)</f>
        <v>12495</v>
      </c>
      <c r="J509" s="11" t="n">
        <f aca="false">MAX(H509,0)-I509</f>
        <v>139505</v>
      </c>
      <c r="K509" s="11" t="n">
        <f aca="false">MIN(IF(A509&gt;0,Calculator!$B$13,0)+E509+Calculator!$B$14,'Tax Tables'!$B$36)</f>
        <v>1000</v>
      </c>
      <c r="L509" s="11" t="n">
        <f aca="false">MAX(A509-K509,0)</f>
        <v>247000</v>
      </c>
      <c r="M509" s="11" t="n">
        <f aca="false">SUMPRODUCT((L509&gt;'Tax Tables'!$A$5:$A$17)*(L509-'Tax Tables'!$A$5:$A$17)*'Tax Tables'!$C$5:$C$17)</f>
        <v>30115</v>
      </c>
      <c r="N509" s="11" t="n">
        <f aca="false">IF(H509&lt;0,-1E+099,A509-E509-M509+J509+(E509+F509)*Calculator!$B$9)</f>
        <v>357390</v>
      </c>
      <c r="O509" s="2"/>
      <c r="P509" s="11" t="n">
        <f aca="false">496*$B$3</f>
        <v>248000</v>
      </c>
      <c r="Q509" s="11" t="n">
        <f aca="false">MIN(P509,'Tax Tables'!$B$31*'Tax Tables'!$B$32)</f>
        <v>96000</v>
      </c>
      <c r="R509" s="11" t="n">
        <f aca="false">P509-Q509</f>
        <v>152000</v>
      </c>
      <c r="S509" s="11" t="n">
        <f aca="false">IF(Calculator!$B$6="Yes",MIN(Q509,'Tax Tables'!$B$31*'Tax Tables'!$B$32),0)</f>
        <v>96000</v>
      </c>
      <c r="T509" s="11" t="n">
        <f aca="false">S509*Calculator!$B$7</f>
        <v>19200</v>
      </c>
      <c r="U509" s="11" t="n">
        <f aca="false">S509*Calculator!$B$8</f>
        <v>16320</v>
      </c>
      <c r="V509" s="11" t="n">
        <f aca="false">IF(Q509&gt;0,'Tax Tables'!$B$32*MIN(MAX(Q509/'Tax Tables'!$B$32*'Tax Tables'!$B$33,'Tax Tables'!$B$34),'Tax Tables'!$B$35),0)</f>
        <v>135</v>
      </c>
      <c r="W509" s="11" t="n">
        <f aca="false">Calculator!$B$5-P509-U509-V509</f>
        <v>135545</v>
      </c>
      <c r="X509" s="11" t="n">
        <f aca="false">'Tax Tables'!$B$22*(MAX(W509,0)-IF(Calculator!$B$10="Yes",MIN(MAX(W509,0),'Tax Tables'!$B$27)*'Tax Tables'!$B$28+MIN(MAX(MAX(W509,0)-'Tax Tables'!$B$27,0),'Tax Tables'!$B$29)*'Tax Tables'!$B$30,MIN(MAX(W509,0),'Tax Tables'!$B$23)*'Tax Tables'!$B$24+MIN(MAX(MAX(W509,0)-'Tax Tables'!$B$23,0),'Tax Tables'!$B$25)*'Tax Tables'!$B$26))*1-MIN('Tax Tables'!$B$22*(MAX(W509,0)-IF(Calculator!$B$10="Yes",MIN(MAX(W509,0),'Tax Tables'!$B$27)*'Tax Tables'!$B$28+MIN(MAX(MAX(W509,0)-'Tax Tables'!$B$27,0),'Tax Tables'!$B$29)*'Tax Tables'!$B$30,MIN(MAX(W509,0),'Tax Tables'!$B$23)*'Tax Tables'!$B$24+MIN(MAX(MAX(W509,0)-'Tax Tables'!$B$23,0),'Tax Tables'!$B$25)*'Tax Tables'!$B$26))*Calculator!$B$11,Calculator!$B$12)</f>
        <v>11096.325</v>
      </c>
      <c r="Y509" s="11" t="n">
        <f aca="false">MAX(W509,0)-X509</f>
        <v>124448.675</v>
      </c>
      <c r="Z509" s="11" t="n">
        <f aca="false">MIN(IF(P509&gt;0,Calculator!$B$13,0)+T509+Calculator!$B$14,'Tax Tables'!$B$36)</f>
        <v>20200</v>
      </c>
      <c r="AA509" s="11" t="n">
        <f aca="false">MAX(P509-Z509,0)</f>
        <v>227800</v>
      </c>
      <c r="AB509" s="11" t="n">
        <f aca="false">SUMPRODUCT((AA509&gt;'Tax Tables'!$A$5:$A$17)*(AA509-'Tax Tables'!$A$5:$A$17)*'Tax Tables'!$C$5:$C$17)</f>
        <v>26432</v>
      </c>
      <c r="AC509" s="11" t="n">
        <f aca="false">IF(W509&lt;0,-1E+099,P509-T509-AB509+Y509+(T509+U509)*Calculator!$B$9)</f>
        <v>362336.675</v>
      </c>
    </row>
    <row r="510" customFormat="false" ht="15" hidden="false" customHeight="false" outlineLevel="0" collapsed="false">
      <c r="A510" s="11" t="n">
        <f aca="false">497*$B$3</f>
        <v>248500</v>
      </c>
      <c r="B510" s="11" t="n">
        <f aca="false">0</f>
        <v>0</v>
      </c>
      <c r="C510" s="11" t="n">
        <f aca="false">A510-B510</f>
        <v>248500</v>
      </c>
      <c r="D510" s="11" t="n">
        <f aca="false">IF(Calculator!$B$6="Yes",MIN(B510,'Tax Tables'!$B$31*'Tax Tables'!$B$32),0)</f>
        <v>0</v>
      </c>
      <c r="E510" s="11" t="n">
        <f aca="false">D510*Calculator!$B$7</f>
        <v>0</v>
      </c>
      <c r="F510" s="11" t="n">
        <f aca="false">D510*Calculator!$B$8</f>
        <v>0</v>
      </c>
      <c r="G510" s="11" t="n">
        <f aca="false">IF(B510&gt;0,'Tax Tables'!$B$32*MIN(MAX(B510/'Tax Tables'!$B$32*'Tax Tables'!$B$33,'Tax Tables'!$B$34),'Tax Tables'!$B$35),0)</f>
        <v>0</v>
      </c>
      <c r="H510" s="11" t="n">
        <f aca="false">Calculator!$B$5-A510-F510-G510</f>
        <v>151500</v>
      </c>
      <c r="I510" s="11" t="n">
        <f aca="false">'Tax Tables'!$B$22*(MAX(H510,0)-IF(Calculator!$B$10="Yes",MIN(MAX(H510,0),'Tax Tables'!$B$27)*'Tax Tables'!$B$28+MIN(MAX(MAX(H510,0)-'Tax Tables'!$B$27,0),'Tax Tables'!$B$29)*'Tax Tables'!$B$30,MIN(MAX(H510,0),'Tax Tables'!$B$23)*'Tax Tables'!$B$24+MIN(MAX(MAX(H510,0)-'Tax Tables'!$B$23,0),'Tax Tables'!$B$25)*'Tax Tables'!$B$26))*1-MIN('Tax Tables'!$B$22*(MAX(H510,0)-IF(Calculator!$B$10="Yes",MIN(MAX(H510,0),'Tax Tables'!$B$27)*'Tax Tables'!$B$28+MIN(MAX(MAX(H510,0)-'Tax Tables'!$B$27,0),'Tax Tables'!$B$29)*'Tax Tables'!$B$30,MIN(MAX(H510,0),'Tax Tables'!$B$23)*'Tax Tables'!$B$24+MIN(MAX(MAX(H510,0)-'Tax Tables'!$B$23,0),'Tax Tables'!$B$25)*'Tax Tables'!$B$26))*Calculator!$B$11,Calculator!$B$12)</f>
        <v>12452.5</v>
      </c>
      <c r="J510" s="11" t="n">
        <f aca="false">MAX(H510,0)-I510</f>
        <v>139047.5</v>
      </c>
      <c r="K510" s="11" t="n">
        <f aca="false">MIN(IF(A510&gt;0,Calculator!$B$13,0)+E510+Calculator!$B$14,'Tax Tables'!$B$36)</f>
        <v>1000</v>
      </c>
      <c r="L510" s="11" t="n">
        <f aca="false">MAX(A510-K510,0)</f>
        <v>247500</v>
      </c>
      <c r="M510" s="11" t="n">
        <f aca="false">SUMPRODUCT((L510&gt;'Tax Tables'!$A$5:$A$17)*(L510-'Tax Tables'!$A$5:$A$17)*'Tax Tables'!$C$5:$C$17)</f>
        <v>30212.5</v>
      </c>
      <c r="N510" s="11" t="n">
        <f aca="false">IF(H510&lt;0,-1E+099,A510-E510-M510+J510+(E510+F510)*Calculator!$B$9)</f>
        <v>357335</v>
      </c>
      <c r="O510" s="2"/>
      <c r="P510" s="11" t="n">
        <f aca="false">497*$B$3</f>
        <v>248500</v>
      </c>
      <c r="Q510" s="11" t="n">
        <f aca="false">MIN(P510,'Tax Tables'!$B$31*'Tax Tables'!$B$32)</f>
        <v>96000</v>
      </c>
      <c r="R510" s="11" t="n">
        <f aca="false">P510-Q510</f>
        <v>152500</v>
      </c>
      <c r="S510" s="11" t="n">
        <f aca="false">IF(Calculator!$B$6="Yes",MIN(Q510,'Tax Tables'!$B$31*'Tax Tables'!$B$32),0)</f>
        <v>96000</v>
      </c>
      <c r="T510" s="11" t="n">
        <f aca="false">S510*Calculator!$B$7</f>
        <v>19200</v>
      </c>
      <c r="U510" s="11" t="n">
        <f aca="false">S510*Calculator!$B$8</f>
        <v>16320</v>
      </c>
      <c r="V510" s="11" t="n">
        <f aca="false">IF(Q510&gt;0,'Tax Tables'!$B$32*MIN(MAX(Q510/'Tax Tables'!$B$32*'Tax Tables'!$B$33,'Tax Tables'!$B$34),'Tax Tables'!$B$35),0)</f>
        <v>135</v>
      </c>
      <c r="W510" s="11" t="n">
        <f aca="false">Calculator!$B$5-P510-U510-V510</f>
        <v>135045</v>
      </c>
      <c r="X510" s="11" t="n">
        <f aca="false">'Tax Tables'!$B$22*(MAX(W510,0)-IF(Calculator!$B$10="Yes",MIN(MAX(W510,0),'Tax Tables'!$B$27)*'Tax Tables'!$B$28+MIN(MAX(MAX(W510,0)-'Tax Tables'!$B$27,0),'Tax Tables'!$B$29)*'Tax Tables'!$B$30,MIN(MAX(W510,0),'Tax Tables'!$B$23)*'Tax Tables'!$B$24+MIN(MAX(MAX(W510,0)-'Tax Tables'!$B$23,0),'Tax Tables'!$B$25)*'Tax Tables'!$B$26))*1-MIN('Tax Tables'!$B$22*(MAX(W510,0)-IF(Calculator!$B$10="Yes",MIN(MAX(W510,0),'Tax Tables'!$B$27)*'Tax Tables'!$B$28+MIN(MAX(MAX(W510,0)-'Tax Tables'!$B$27,0),'Tax Tables'!$B$29)*'Tax Tables'!$B$30,MIN(MAX(W510,0),'Tax Tables'!$B$23)*'Tax Tables'!$B$24+MIN(MAX(MAX(W510,0)-'Tax Tables'!$B$23,0),'Tax Tables'!$B$25)*'Tax Tables'!$B$26))*Calculator!$B$11,Calculator!$B$12)</f>
        <v>11053.825</v>
      </c>
      <c r="Y510" s="11" t="n">
        <f aca="false">MAX(W510,0)-X510</f>
        <v>123991.175</v>
      </c>
      <c r="Z510" s="11" t="n">
        <f aca="false">MIN(IF(P510&gt;0,Calculator!$B$13,0)+T510+Calculator!$B$14,'Tax Tables'!$B$36)</f>
        <v>20200</v>
      </c>
      <c r="AA510" s="11" t="n">
        <f aca="false">MAX(P510-Z510,0)</f>
        <v>228300</v>
      </c>
      <c r="AB510" s="11" t="n">
        <f aca="false">SUMPRODUCT((AA510&gt;'Tax Tables'!$A$5:$A$17)*(AA510-'Tax Tables'!$A$5:$A$17)*'Tax Tables'!$C$5:$C$17)</f>
        <v>26527</v>
      </c>
      <c r="AC510" s="11" t="n">
        <f aca="false">IF(W510&lt;0,-1E+099,P510-T510-AB510+Y510+(T510+U510)*Calculator!$B$9)</f>
        <v>362284.175</v>
      </c>
    </row>
    <row r="511" customFormat="false" ht="15" hidden="false" customHeight="false" outlineLevel="0" collapsed="false">
      <c r="A511" s="11" t="n">
        <f aca="false">498*$B$3</f>
        <v>249000</v>
      </c>
      <c r="B511" s="11" t="n">
        <f aca="false">0</f>
        <v>0</v>
      </c>
      <c r="C511" s="11" t="n">
        <f aca="false">A511-B511</f>
        <v>249000</v>
      </c>
      <c r="D511" s="11" t="n">
        <f aca="false">IF(Calculator!$B$6="Yes",MIN(B511,'Tax Tables'!$B$31*'Tax Tables'!$B$32),0)</f>
        <v>0</v>
      </c>
      <c r="E511" s="11" t="n">
        <f aca="false">D511*Calculator!$B$7</f>
        <v>0</v>
      </c>
      <c r="F511" s="11" t="n">
        <f aca="false">D511*Calculator!$B$8</f>
        <v>0</v>
      </c>
      <c r="G511" s="11" t="n">
        <f aca="false">IF(B511&gt;0,'Tax Tables'!$B$32*MIN(MAX(B511/'Tax Tables'!$B$32*'Tax Tables'!$B$33,'Tax Tables'!$B$34),'Tax Tables'!$B$35),0)</f>
        <v>0</v>
      </c>
      <c r="H511" s="11" t="n">
        <f aca="false">Calculator!$B$5-A511-F511-G511</f>
        <v>151000</v>
      </c>
      <c r="I511" s="11" t="n">
        <f aca="false">'Tax Tables'!$B$22*(MAX(H511,0)-IF(Calculator!$B$10="Yes",MIN(MAX(H511,0),'Tax Tables'!$B$27)*'Tax Tables'!$B$28+MIN(MAX(MAX(H511,0)-'Tax Tables'!$B$27,0),'Tax Tables'!$B$29)*'Tax Tables'!$B$30,MIN(MAX(H511,0),'Tax Tables'!$B$23)*'Tax Tables'!$B$24+MIN(MAX(MAX(H511,0)-'Tax Tables'!$B$23,0),'Tax Tables'!$B$25)*'Tax Tables'!$B$26))*1-MIN('Tax Tables'!$B$22*(MAX(H511,0)-IF(Calculator!$B$10="Yes",MIN(MAX(H511,0),'Tax Tables'!$B$27)*'Tax Tables'!$B$28+MIN(MAX(MAX(H511,0)-'Tax Tables'!$B$27,0),'Tax Tables'!$B$29)*'Tax Tables'!$B$30,MIN(MAX(H511,0),'Tax Tables'!$B$23)*'Tax Tables'!$B$24+MIN(MAX(MAX(H511,0)-'Tax Tables'!$B$23,0),'Tax Tables'!$B$25)*'Tax Tables'!$B$26))*Calculator!$B$11,Calculator!$B$12)</f>
        <v>12410</v>
      </c>
      <c r="J511" s="11" t="n">
        <f aca="false">MAX(H511,0)-I511</f>
        <v>138590</v>
      </c>
      <c r="K511" s="11" t="n">
        <f aca="false">MIN(IF(A511&gt;0,Calculator!$B$13,0)+E511+Calculator!$B$14,'Tax Tables'!$B$36)</f>
        <v>1000</v>
      </c>
      <c r="L511" s="11" t="n">
        <f aca="false">MAX(A511-K511,0)</f>
        <v>248000</v>
      </c>
      <c r="M511" s="11" t="n">
        <f aca="false">SUMPRODUCT((L511&gt;'Tax Tables'!$A$5:$A$17)*(L511-'Tax Tables'!$A$5:$A$17)*'Tax Tables'!$C$5:$C$17)</f>
        <v>30310</v>
      </c>
      <c r="N511" s="11" t="n">
        <f aca="false">IF(H511&lt;0,-1E+099,A511-E511-M511+J511+(E511+F511)*Calculator!$B$9)</f>
        <v>357280</v>
      </c>
      <c r="O511" s="2"/>
      <c r="P511" s="11" t="n">
        <f aca="false">498*$B$3</f>
        <v>249000</v>
      </c>
      <c r="Q511" s="11" t="n">
        <f aca="false">MIN(P511,'Tax Tables'!$B$31*'Tax Tables'!$B$32)</f>
        <v>96000</v>
      </c>
      <c r="R511" s="11" t="n">
        <f aca="false">P511-Q511</f>
        <v>153000</v>
      </c>
      <c r="S511" s="11" t="n">
        <f aca="false">IF(Calculator!$B$6="Yes",MIN(Q511,'Tax Tables'!$B$31*'Tax Tables'!$B$32),0)</f>
        <v>96000</v>
      </c>
      <c r="T511" s="11" t="n">
        <f aca="false">S511*Calculator!$B$7</f>
        <v>19200</v>
      </c>
      <c r="U511" s="11" t="n">
        <f aca="false">S511*Calculator!$B$8</f>
        <v>16320</v>
      </c>
      <c r="V511" s="11" t="n">
        <f aca="false">IF(Q511&gt;0,'Tax Tables'!$B$32*MIN(MAX(Q511/'Tax Tables'!$B$32*'Tax Tables'!$B$33,'Tax Tables'!$B$34),'Tax Tables'!$B$35),0)</f>
        <v>135</v>
      </c>
      <c r="W511" s="11" t="n">
        <f aca="false">Calculator!$B$5-P511-U511-V511</f>
        <v>134545</v>
      </c>
      <c r="X511" s="11" t="n">
        <f aca="false">'Tax Tables'!$B$22*(MAX(W511,0)-IF(Calculator!$B$10="Yes",MIN(MAX(W511,0),'Tax Tables'!$B$27)*'Tax Tables'!$B$28+MIN(MAX(MAX(W511,0)-'Tax Tables'!$B$27,0),'Tax Tables'!$B$29)*'Tax Tables'!$B$30,MIN(MAX(W511,0),'Tax Tables'!$B$23)*'Tax Tables'!$B$24+MIN(MAX(MAX(W511,0)-'Tax Tables'!$B$23,0),'Tax Tables'!$B$25)*'Tax Tables'!$B$26))*1-MIN('Tax Tables'!$B$22*(MAX(W511,0)-IF(Calculator!$B$10="Yes",MIN(MAX(W511,0),'Tax Tables'!$B$27)*'Tax Tables'!$B$28+MIN(MAX(MAX(W511,0)-'Tax Tables'!$B$27,0),'Tax Tables'!$B$29)*'Tax Tables'!$B$30,MIN(MAX(W511,0),'Tax Tables'!$B$23)*'Tax Tables'!$B$24+MIN(MAX(MAX(W511,0)-'Tax Tables'!$B$23,0),'Tax Tables'!$B$25)*'Tax Tables'!$B$26))*Calculator!$B$11,Calculator!$B$12)</f>
        <v>11011.325</v>
      </c>
      <c r="Y511" s="11" t="n">
        <f aca="false">MAX(W511,0)-X511</f>
        <v>123533.675</v>
      </c>
      <c r="Z511" s="11" t="n">
        <f aca="false">MIN(IF(P511&gt;0,Calculator!$B$13,0)+T511+Calculator!$B$14,'Tax Tables'!$B$36)</f>
        <v>20200</v>
      </c>
      <c r="AA511" s="11" t="n">
        <f aca="false">MAX(P511-Z511,0)</f>
        <v>228800</v>
      </c>
      <c r="AB511" s="11" t="n">
        <f aca="false">SUMPRODUCT((AA511&gt;'Tax Tables'!$A$5:$A$17)*(AA511-'Tax Tables'!$A$5:$A$17)*'Tax Tables'!$C$5:$C$17)</f>
        <v>26622</v>
      </c>
      <c r="AC511" s="11" t="n">
        <f aca="false">IF(W511&lt;0,-1E+099,P511-T511-AB511+Y511+(T511+U511)*Calculator!$B$9)</f>
        <v>362231.675</v>
      </c>
    </row>
    <row r="512" customFormat="false" ht="15" hidden="false" customHeight="false" outlineLevel="0" collapsed="false">
      <c r="A512" s="11" t="n">
        <f aca="false">499*$B$3</f>
        <v>249500</v>
      </c>
      <c r="B512" s="11" t="n">
        <f aca="false">0</f>
        <v>0</v>
      </c>
      <c r="C512" s="11" t="n">
        <f aca="false">A512-B512</f>
        <v>249500</v>
      </c>
      <c r="D512" s="11" t="n">
        <f aca="false">IF(Calculator!$B$6="Yes",MIN(B512,'Tax Tables'!$B$31*'Tax Tables'!$B$32),0)</f>
        <v>0</v>
      </c>
      <c r="E512" s="11" t="n">
        <f aca="false">D512*Calculator!$B$7</f>
        <v>0</v>
      </c>
      <c r="F512" s="11" t="n">
        <f aca="false">D512*Calculator!$B$8</f>
        <v>0</v>
      </c>
      <c r="G512" s="11" t="n">
        <f aca="false">IF(B512&gt;0,'Tax Tables'!$B$32*MIN(MAX(B512/'Tax Tables'!$B$32*'Tax Tables'!$B$33,'Tax Tables'!$B$34),'Tax Tables'!$B$35),0)</f>
        <v>0</v>
      </c>
      <c r="H512" s="11" t="n">
        <f aca="false">Calculator!$B$5-A512-F512-G512</f>
        <v>150500</v>
      </c>
      <c r="I512" s="11" t="n">
        <f aca="false">'Tax Tables'!$B$22*(MAX(H512,0)-IF(Calculator!$B$10="Yes",MIN(MAX(H512,0),'Tax Tables'!$B$27)*'Tax Tables'!$B$28+MIN(MAX(MAX(H512,0)-'Tax Tables'!$B$27,0),'Tax Tables'!$B$29)*'Tax Tables'!$B$30,MIN(MAX(H512,0),'Tax Tables'!$B$23)*'Tax Tables'!$B$24+MIN(MAX(MAX(H512,0)-'Tax Tables'!$B$23,0),'Tax Tables'!$B$25)*'Tax Tables'!$B$26))*1-MIN('Tax Tables'!$B$22*(MAX(H512,0)-IF(Calculator!$B$10="Yes",MIN(MAX(H512,0),'Tax Tables'!$B$27)*'Tax Tables'!$B$28+MIN(MAX(MAX(H512,0)-'Tax Tables'!$B$27,0),'Tax Tables'!$B$29)*'Tax Tables'!$B$30,MIN(MAX(H512,0),'Tax Tables'!$B$23)*'Tax Tables'!$B$24+MIN(MAX(MAX(H512,0)-'Tax Tables'!$B$23,0),'Tax Tables'!$B$25)*'Tax Tables'!$B$26))*Calculator!$B$11,Calculator!$B$12)</f>
        <v>12367.5</v>
      </c>
      <c r="J512" s="11" t="n">
        <f aca="false">MAX(H512,0)-I512</f>
        <v>138132.5</v>
      </c>
      <c r="K512" s="11" t="n">
        <f aca="false">MIN(IF(A512&gt;0,Calculator!$B$13,0)+E512+Calculator!$B$14,'Tax Tables'!$B$36)</f>
        <v>1000</v>
      </c>
      <c r="L512" s="11" t="n">
        <f aca="false">MAX(A512-K512,0)</f>
        <v>248500</v>
      </c>
      <c r="M512" s="11" t="n">
        <f aca="false">SUMPRODUCT((L512&gt;'Tax Tables'!$A$5:$A$17)*(L512-'Tax Tables'!$A$5:$A$17)*'Tax Tables'!$C$5:$C$17)</f>
        <v>30407.5</v>
      </c>
      <c r="N512" s="11" t="n">
        <f aca="false">IF(H512&lt;0,-1E+099,A512-E512-M512+J512+(E512+F512)*Calculator!$B$9)</f>
        <v>357225</v>
      </c>
      <c r="O512" s="2"/>
      <c r="P512" s="11" t="n">
        <f aca="false">499*$B$3</f>
        <v>249500</v>
      </c>
      <c r="Q512" s="11" t="n">
        <f aca="false">MIN(P512,'Tax Tables'!$B$31*'Tax Tables'!$B$32)</f>
        <v>96000</v>
      </c>
      <c r="R512" s="11" t="n">
        <f aca="false">P512-Q512</f>
        <v>153500</v>
      </c>
      <c r="S512" s="11" t="n">
        <f aca="false">IF(Calculator!$B$6="Yes",MIN(Q512,'Tax Tables'!$B$31*'Tax Tables'!$B$32),0)</f>
        <v>96000</v>
      </c>
      <c r="T512" s="11" t="n">
        <f aca="false">S512*Calculator!$B$7</f>
        <v>19200</v>
      </c>
      <c r="U512" s="11" t="n">
        <f aca="false">S512*Calculator!$B$8</f>
        <v>16320</v>
      </c>
      <c r="V512" s="11" t="n">
        <f aca="false">IF(Q512&gt;0,'Tax Tables'!$B$32*MIN(MAX(Q512/'Tax Tables'!$B$32*'Tax Tables'!$B$33,'Tax Tables'!$B$34),'Tax Tables'!$B$35),0)</f>
        <v>135</v>
      </c>
      <c r="W512" s="11" t="n">
        <f aca="false">Calculator!$B$5-P512-U512-V512</f>
        <v>134045</v>
      </c>
      <c r="X512" s="11" t="n">
        <f aca="false">'Tax Tables'!$B$22*(MAX(W512,0)-IF(Calculator!$B$10="Yes",MIN(MAX(W512,0),'Tax Tables'!$B$27)*'Tax Tables'!$B$28+MIN(MAX(MAX(W512,0)-'Tax Tables'!$B$27,0),'Tax Tables'!$B$29)*'Tax Tables'!$B$30,MIN(MAX(W512,0),'Tax Tables'!$B$23)*'Tax Tables'!$B$24+MIN(MAX(MAX(W512,0)-'Tax Tables'!$B$23,0),'Tax Tables'!$B$25)*'Tax Tables'!$B$26))*1-MIN('Tax Tables'!$B$22*(MAX(W512,0)-IF(Calculator!$B$10="Yes",MIN(MAX(W512,0),'Tax Tables'!$B$27)*'Tax Tables'!$B$28+MIN(MAX(MAX(W512,0)-'Tax Tables'!$B$27,0),'Tax Tables'!$B$29)*'Tax Tables'!$B$30,MIN(MAX(W512,0),'Tax Tables'!$B$23)*'Tax Tables'!$B$24+MIN(MAX(MAX(W512,0)-'Tax Tables'!$B$23,0),'Tax Tables'!$B$25)*'Tax Tables'!$B$26))*Calculator!$B$11,Calculator!$B$12)</f>
        <v>10968.825</v>
      </c>
      <c r="Y512" s="11" t="n">
        <f aca="false">MAX(W512,0)-X512</f>
        <v>123076.175</v>
      </c>
      <c r="Z512" s="11" t="n">
        <f aca="false">MIN(IF(P512&gt;0,Calculator!$B$13,0)+T512+Calculator!$B$14,'Tax Tables'!$B$36)</f>
        <v>20200</v>
      </c>
      <c r="AA512" s="11" t="n">
        <f aca="false">MAX(P512-Z512,0)</f>
        <v>229300</v>
      </c>
      <c r="AB512" s="11" t="n">
        <f aca="false">SUMPRODUCT((AA512&gt;'Tax Tables'!$A$5:$A$17)*(AA512-'Tax Tables'!$A$5:$A$17)*'Tax Tables'!$C$5:$C$17)</f>
        <v>26717</v>
      </c>
      <c r="AC512" s="11" t="n">
        <f aca="false">IF(W512&lt;0,-1E+099,P512-T512-AB512+Y512+(T512+U512)*Calculator!$B$9)</f>
        <v>362179.175</v>
      </c>
    </row>
    <row r="513" customFormat="false" ht="15" hidden="false" customHeight="false" outlineLevel="0" collapsed="false">
      <c r="A513" s="11" t="n">
        <f aca="false">500*$B$3</f>
        <v>250000</v>
      </c>
      <c r="B513" s="11" t="n">
        <f aca="false">0</f>
        <v>0</v>
      </c>
      <c r="C513" s="11" t="n">
        <f aca="false">A513-B513</f>
        <v>250000</v>
      </c>
      <c r="D513" s="11" t="n">
        <f aca="false">IF(Calculator!$B$6="Yes",MIN(B513,'Tax Tables'!$B$31*'Tax Tables'!$B$32),0)</f>
        <v>0</v>
      </c>
      <c r="E513" s="11" t="n">
        <f aca="false">D513*Calculator!$B$7</f>
        <v>0</v>
      </c>
      <c r="F513" s="11" t="n">
        <f aca="false">D513*Calculator!$B$8</f>
        <v>0</v>
      </c>
      <c r="G513" s="11" t="n">
        <f aca="false">IF(B513&gt;0,'Tax Tables'!$B$32*MIN(MAX(B513/'Tax Tables'!$B$32*'Tax Tables'!$B$33,'Tax Tables'!$B$34),'Tax Tables'!$B$35),0)</f>
        <v>0</v>
      </c>
      <c r="H513" s="11" t="n">
        <f aca="false">Calculator!$B$5-A513-F513-G513</f>
        <v>150000</v>
      </c>
      <c r="I513" s="11" t="n">
        <f aca="false">'Tax Tables'!$B$22*(MAX(H513,0)-IF(Calculator!$B$10="Yes",MIN(MAX(H513,0),'Tax Tables'!$B$27)*'Tax Tables'!$B$28+MIN(MAX(MAX(H513,0)-'Tax Tables'!$B$27,0),'Tax Tables'!$B$29)*'Tax Tables'!$B$30,MIN(MAX(H513,0),'Tax Tables'!$B$23)*'Tax Tables'!$B$24+MIN(MAX(MAX(H513,0)-'Tax Tables'!$B$23,0),'Tax Tables'!$B$25)*'Tax Tables'!$B$26))*1-MIN('Tax Tables'!$B$22*(MAX(H513,0)-IF(Calculator!$B$10="Yes",MIN(MAX(H513,0),'Tax Tables'!$B$27)*'Tax Tables'!$B$28+MIN(MAX(MAX(H513,0)-'Tax Tables'!$B$27,0),'Tax Tables'!$B$29)*'Tax Tables'!$B$30,MIN(MAX(H513,0),'Tax Tables'!$B$23)*'Tax Tables'!$B$24+MIN(MAX(MAX(H513,0)-'Tax Tables'!$B$23,0),'Tax Tables'!$B$25)*'Tax Tables'!$B$26))*Calculator!$B$11,Calculator!$B$12)</f>
        <v>12325</v>
      </c>
      <c r="J513" s="11" t="n">
        <f aca="false">MAX(H513,0)-I513</f>
        <v>137675</v>
      </c>
      <c r="K513" s="11" t="n">
        <f aca="false">MIN(IF(A513&gt;0,Calculator!$B$13,0)+E513+Calculator!$B$14,'Tax Tables'!$B$36)</f>
        <v>1000</v>
      </c>
      <c r="L513" s="11" t="n">
        <f aca="false">MAX(A513-K513,0)</f>
        <v>249000</v>
      </c>
      <c r="M513" s="11" t="n">
        <f aca="false">SUMPRODUCT((L513&gt;'Tax Tables'!$A$5:$A$17)*(L513-'Tax Tables'!$A$5:$A$17)*'Tax Tables'!$C$5:$C$17)</f>
        <v>30505</v>
      </c>
      <c r="N513" s="11" t="n">
        <f aca="false">IF(H513&lt;0,-1E+099,A513-E513-M513+J513+(E513+F513)*Calculator!$B$9)</f>
        <v>357170</v>
      </c>
      <c r="O513" s="2"/>
      <c r="P513" s="11" t="n">
        <f aca="false">500*$B$3</f>
        <v>250000</v>
      </c>
      <c r="Q513" s="11" t="n">
        <f aca="false">MIN(P513,'Tax Tables'!$B$31*'Tax Tables'!$B$32)</f>
        <v>96000</v>
      </c>
      <c r="R513" s="11" t="n">
        <f aca="false">P513-Q513</f>
        <v>154000</v>
      </c>
      <c r="S513" s="11" t="n">
        <f aca="false">IF(Calculator!$B$6="Yes",MIN(Q513,'Tax Tables'!$B$31*'Tax Tables'!$B$32),0)</f>
        <v>96000</v>
      </c>
      <c r="T513" s="11" t="n">
        <f aca="false">S513*Calculator!$B$7</f>
        <v>19200</v>
      </c>
      <c r="U513" s="11" t="n">
        <f aca="false">S513*Calculator!$B$8</f>
        <v>16320</v>
      </c>
      <c r="V513" s="11" t="n">
        <f aca="false">IF(Q513&gt;0,'Tax Tables'!$B$32*MIN(MAX(Q513/'Tax Tables'!$B$32*'Tax Tables'!$B$33,'Tax Tables'!$B$34),'Tax Tables'!$B$35),0)</f>
        <v>135</v>
      </c>
      <c r="W513" s="11" t="n">
        <f aca="false">Calculator!$B$5-P513-U513-V513</f>
        <v>133545</v>
      </c>
      <c r="X513" s="11" t="n">
        <f aca="false">'Tax Tables'!$B$22*(MAX(W513,0)-IF(Calculator!$B$10="Yes",MIN(MAX(W513,0),'Tax Tables'!$B$27)*'Tax Tables'!$B$28+MIN(MAX(MAX(W513,0)-'Tax Tables'!$B$27,0),'Tax Tables'!$B$29)*'Tax Tables'!$B$30,MIN(MAX(W513,0),'Tax Tables'!$B$23)*'Tax Tables'!$B$24+MIN(MAX(MAX(W513,0)-'Tax Tables'!$B$23,0),'Tax Tables'!$B$25)*'Tax Tables'!$B$26))*1-MIN('Tax Tables'!$B$22*(MAX(W513,0)-IF(Calculator!$B$10="Yes",MIN(MAX(W513,0),'Tax Tables'!$B$27)*'Tax Tables'!$B$28+MIN(MAX(MAX(W513,0)-'Tax Tables'!$B$27,0),'Tax Tables'!$B$29)*'Tax Tables'!$B$30,MIN(MAX(W513,0),'Tax Tables'!$B$23)*'Tax Tables'!$B$24+MIN(MAX(MAX(W513,0)-'Tax Tables'!$B$23,0),'Tax Tables'!$B$25)*'Tax Tables'!$B$26))*Calculator!$B$11,Calculator!$B$12)</f>
        <v>10926.325</v>
      </c>
      <c r="Y513" s="11" t="n">
        <f aca="false">MAX(W513,0)-X513</f>
        <v>122618.675</v>
      </c>
      <c r="Z513" s="11" t="n">
        <f aca="false">MIN(IF(P513&gt;0,Calculator!$B$13,0)+T513+Calculator!$B$14,'Tax Tables'!$B$36)</f>
        <v>20200</v>
      </c>
      <c r="AA513" s="11" t="n">
        <f aca="false">MAX(P513-Z513,0)</f>
        <v>229800</v>
      </c>
      <c r="AB513" s="11" t="n">
        <f aca="false">SUMPRODUCT((AA513&gt;'Tax Tables'!$A$5:$A$17)*(AA513-'Tax Tables'!$A$5:$A$17)*'Tax Tables'!$C$5:$C$17)</f>
        <v>26812</v>
      </c>
      <c r="AC513" s="11" t="n">
        <f aca="false">IF(W513&lt;0,-1E+099,P513-T513-AB513+Y513+(T513+U513)*Calculator!$B$9)</f>
        <v>362126.675</v>
      </c>
    </row>
    <row r="514" customFormat="false" ht="15" hidden="false" customHeight="false" outlineLevel="0" collapsed="false">
      <c r="A514" s="11" t="n">
        <f aca="false">501*$B$3</f>
        <v>250500</v>
      </c>
      <c r="B514" s="11" t="n">
        <f aca="false">0</f>
        <v>0</v>
      </c>
      <c r="C514" s="11" t="n">
        <f aca="false">A514-B514</f>
        <v>250500</v>
      </c>
      <c r="D514" s="11" t="n">
        <f aca="false">IF(Calculator!$B$6="Yes",MIN(B514,'Tax Tables'!$B$31*'Tax Tables'!$B$32),0)</f>
        <v>0</v>
      </c>
      <c r="E514" s="11" t="n">
        <f aca="false">D514*Calculator!$B$7</f>
        <v>0</v>
      </c>
      <c r="F514" s="11" t="n">
        <f aca="false">D514*Calculator!$B$8</f>
        <v>0</v>
      </c>
      <c r="G514" s="11" t="n">
        <f aca="false">IF(B514&gt;0,'Tax Tables'!$B$32*MIN(MAX(B514/'Tax Tables'!$B$32*'Tax Tables'!$B$33,'Tax Tables'!$B$34),'Tax Tables'!$B$35),0)</f>
        <v>0</v>
      </c>
      <c r="H514" s="11" t="n">
        <f aca="false">Calculator!$B$5-A514-F514-G514</f>
        <v>149500</v>
      </c>
      <c r="I514" s="11" t="n">
        <f aca="false">'Tax Tables'!$B$22*(MAX(H514,0)-IF(Calculator!$B$10="Yes",MIN(MAX(H514,0),'Tax Tables'!$B$27)*'Tax Tables'!$B$28+MIN(MAX(MAX(H514,0)-'Tax Tables'!$B$27,0),'Tax Tables'!$B$29)*'Tax Tables'!$B$30,MIN(MAX(H514,0),'Tax Tables'!$B$23)*'Tax Tables'!$B$24+MIN(MAX(MAX(H514,0)-'Tax Tables'!$B$23,0),'Tax Tables'!$B$25)*'Tax Tables'!$B$26))*1-MIN('Tax Tables'!$B$22*(MAX(H514,0)-IF(Calculator!$B$10="Yes",MIN(MAX(H514,0),'Tax Tables'!$B$27)*'Tax Tables'!$B$28+MIN(MAX(MAX(H514,0)-'Tax Tables'!$B$27,0),'Tax Tables'!$B$29)*'Tax Tables'!$B$30,MIN(MAX(H514,0),'Tax Tables'!$B$23)*'Tax Tables'!$B$24+MIN(MAX(MAX(H514,0)-'Tax Tables'!$B$23,0),'Tax Tables'!$B$25)*'Tax Tables'!$B$26))*Calculator!$B$11,Calculator!$B$12)</f>
        <v>12282.5</v>
      </c>
      <c r="J514" s="11" t="n">
        <f aca="false">MAX(H514,0)-I514</f>
        <v>137217.5</v>
      </c>
      <c r="K514" s="11" t="n">
        <f aca="false">MIN(IF(A514&gt;0,Calculator!$B$13,0)+E514+Calculator!$B$14,'Tax Tables'!$B$36)</f>
        <v>1000</v>
      </c>
      <c r="L514" s="11" t="n">
        <f aca="false">MAX(A514-K514,0)</f>
        <v>249500</v>
      </c>
      <c r="M514" s="11" t="n">
        <f aca="false">SUMPRODUCT((L514&gt;'Tax Tables'!$A$5:$A$17)*(L514-'Tax Tables'!$A$5:$A$17)*'Tax Tables'!$C$5:$C$17)</f>
        <v>30602.5</v>
      </c>
      <c r="N514" s="11" t="n">
        <f aca="false">IF(H514&lt;0,-1E+099,A514-E514-M514+J514+(E514+F514)*Calculator!$B$9)</f>
        <v>357115</v>
      </c>
      <c r="O514" s="2"/>
      <c r="P514" s="11" t="n">
        <f aca="false">501*$B$3</f>
        <v>250500</v>
      </c>
      <c r="Q514" s="11" t="n">
        <f aca="false">MIN(P514,'Tax Tables'!$B$31*'Tax Tables'!$B$32)</f>
        <v>96000</v>
      </c>
      <c r="R514" s="11" t="n">
        <f aca="false">P514-Q514</f>
        <v>154500</v>
      </c>
      <c r="S514" s="11" t="n">
        <f aca="false">IF(Calculator!$B$6="Yes",MIN(Q514,'Tax Tables'!$B$31*'Tax Tables'!$B$32),0)</f>
        <v>96000</v>
      </c>
      <c r="T514" s="11" t="n">
        <f aca="false">S514*Calculator!$B$7</f>
        <v>19200</v>
      </c>
      <c r="U514" s="11" t="n">
        <f aca="false">S514*Calculator!$B$8</f>
        <v>16320</v>
      </c>
      <c r="V514" s="11" t="n">
        <f aca="false">IF(Q514&gt;0,'Tax Tables'!$B$32*MIN(MAX(Q514/'Tax Tables'!$B$32*'Tax Tables'!$B$33,'Tax Tables'!$B$34),'Tax Tables'!$B$35),0)</f>
        <v>135</v>
      </c>
      <c r="W514" s="11" t="n">
        <f aca="false">Calculator!$B$5-P514-U514-V514</f>
        <v>133045</v>
      </c>
      <c r="X514" s="11" t="n">
        <f aca="false">'Tax Tables'!$B$22*(MAX(W514,0)-IF(Calculator!$B$10="Yes",MIN(MAX(W514,0),'Tax Tables'!$B$27)*'Tax Tables'!$B$28+MIN(MAX(MAX(W514,0)-'Tax Tables'!$B$27,0),'Tax Tables'!$B$29)*'Tax Tables'!$B$30,MIN(MAX(W514,0),'Tax Tables'!$B$23)*'Tax Tables'!$B$24+MIN(MAX(MAX(W514,0)-'Tax Tables'!$B$23,0),'Tax Tables'!$B$25)*'Tax Tables'!$B$26))*1-MIN('Tax Tables'!$B$22*(MAX(W514,0)-IF(Calculator!$B$10="Yes",MIN(MAX(W514,0),'Tax Tables'!$B$27)*'Tax Tables'!$B$28+MIN(MAX(MAX(W514,0)-'Tax Tables'!$B$27,0),'Tax Tables'!$B$29)*'Tax Tables'!$B$30,MIN(MAX(W514,0),'Tax Tables'!$B$23)*'Tax Tables'!$B$24+MIN(MAX(MAX(W514,0)-'Tax Tables'!$B$23,0),'Tax Tables'!$B$25)*'Tax Tables'!$B$26))*Calculator!$B$11,Calculator!$B$12)</f>
        <v>10883.825</v>
      </c>
      <c r="Y514" s="11" t="n">
        <f aca="false">MAX(W514,0)-X514</f>
        <v>122161.175</v>
      </c>
      <c r="Z514" s="11" t="n">
        <f aca="false">MIN(IF(P514&gt;0,Calculator!$B$13,0)+T514+Calculator!$B$14,'Tax Tables'!$B$36)</f>
        <v>20200</v>
      </c>
      <c r="AA514" s="11" t="n">
        <f aca="false">MAX(P514-Z514,0)</f>
        <v>230300</v>
      </c>
      <c r="AB514" s="11" t="n">
        <f aca="false">SUMPRODUCT((AA514&gt;'Tax Tables'!$A$5:$A$17)*(AA514-'Tax Tables'!$A$5:$A$17)*'Tax Tables'!$C$5:$C$17)</f>
        <v>26907</v>
      </c>
      <c r="AC514" s="11" t="n">
        <f aca="false">IF(W514&lt;0,-1E+099,P514-T514-AB514+Y514+(T514+U514)*Calculator!$B$9)</f>
        <v>362074.175</v>
      </c>
    </row>
    <row r="515" customFormat="false" ht="15" hidden="false" customHeight="false" outlineLevel="0" collapsed="false">
      <c r="A515" s="11" t="n">
        <f aca="false">502*$B$3</f>
        <v>251000</v>
      </c>
      <c r="B515" s="11" t="n">
        <f aca="false">0</f>
        <v>0</v>
      </c>
      <c r="C515" s="11" t="n">
        <f aca="false">A515-B515</f>
        <v>251000</v>
      </c>
      <c r="D515" s="11" t="n">
        <f aca="false">IF(Calculator!$B$6="Yes",MIN(B515,'Tax Tables'!$B$31*'Tax Tables'!$B$32),0)</f>
        <v>0</v>
      </c>
      <c r="E515" s="11" t="n">
        <f aca="false">D515*Calculator!$B$7</f>
        <v>0</v>
      </c>
      <c r="F515" s="11" t="n">
        <f aca="false">D515*Calculator!$B$8</f>
        <v>0</v>
      </c>
      <c r="G515" s="11" t="n">
        <f aca="false">IF(B515&gt;0,'Tax Tables'!$B$32*MIN(MAX(B515/'Tax Tables'!$B$32*'Tax Tables'!$B$33,'Tax Tables'!$B$34),'Tax Tables'!$B$35),0)</f>
        <v>0</v>
      </c>
      <c r="H515" s="11" t="n">
        <f aca="false">Calculator!$B$5-A515-F515-G515</f>
        <v>149000</v>
      </c>
      <c r="I515" s="11" t="n">
        <f aca="false">'Tax Tables'!$B$22*(MAX(H515,0)-IF(Calculator!$B$10="Yes",MIN(MAX(H515,0),'Tax Tables'!$B$27)*'Tax Tables'!$B$28+MIN(MAX(MAX(H515,0)-'Tax Tables'!$B$27,0),'Tax Tables'!$B$29)*'Tax Tables'!$B$30,MIN(MAX(H515,0),'Tax Tables'!$B$23)*'Tax Tables'!$B$24+MIN(MAX(MAX(H515,0)-'Tax Tables'!$B$23,0),'Tax Tables'!$B$25)*'Tax Tables'!$B$26))*1-MIN('Tax Tables'!$B$22*(MAX(H515,0)-IF(Calculator!$B$10="Yes",MIN(MAX(H515,0),'Tax Tables'!$B$27)*'Tax Tables'!$B$28+MIN(MAX(MAX(H515,0)-'Tax Tables'!$B$27,0),'Tax Tables'!$B$29)*'Tax Tables'!$B$30,MIN(MAX(H515,0),'Tax Tables'!$B$23)*'Tax Tables'!$B$24+MIN(MAX(MAX(H515,0)-'Tax Tables'!$B$23,0),'Tax Tables'!$B$25)*'Tax Tables'!$B$26))*Calculator!$B$11,Calculator!$B$12)</f>
        <v>12240</v>
      </c>
      <c r="J515" s="11" t="n">
        <f aca="false">MAX(H515,0)-I515</f>
        <v>136760</v>
      </c>
      <c r="K515" s="11" t="n">
        <f aca="false">MIN(IF(A515&gt;0,Calculator!$B$13,0)+E515+Calculator!$B$14,'Tax Tables'!$B$36)</f>
        <v>1000</v>
      </c>
      <c r="L515" s="11" t="n">
        <f aca="false">MAX(A515-K515,0)</f>
        <v>250000</v>
      </c>
      <c r="M515" s="11" t="n">
        <f aca="false">SUMPRODUCT((L515&gt;'Tax Tables'!$A$5:$A$17)*(L515-'Tax Tables'!$A$5:$A$17)*'Tax Tables'!$C$5:$C$17)</f>
        <v>30700</v>
      </c>
      <c r="N515" s="11" t="n">
        <f aca="false">IF(H515&lt;0,-1E+099,A515-E515-M515+J515+(E515+F515)*Calculator!$B$9)</f>
        <v>357060</v>
      </c>
      <c r="O515" s="2"/>
      <c r="P515" s="11" t="n">
        <f aca="false">502*$B$3</f>
        <v>251000</v>
      </c>
      <c r="Q515" s="11" t="n">
        <f aca="false">MIN(P515,'Tax Tables'!$B$31*'Tax Tables'!$B$32)</f>
        <v>96000</v>
      </c>
      <c r="R515" s="11" t="n">
        <f aca="false">P515-Q515</f>
        <v>155000</v>
      </c>
      <c r="S515" s="11" t="n">
        <f aca="false">IF(Calculator!$B$6="Yes",MIN(Q515,'Tax Tables'!$B$31*'Tax Tables'!$B$32),0)</f>
        <v>96000</v>
      </c>
      <c r="T515" s="11" t="n">
        <f aca="false">S515*Calculator!$B$7</f>
        <v>19200</v>
      </c>
      <c r="U515" s="11" t="n">
        <f aca="false">S515*Calculator!$B$8</f>
        <v>16320</v>
      </c>
      <c r="V515" s="11" t="n">
        <f aca="false">IF(Q515&gt;0,'Tax Tables'!$B$32*MIN(MAX(Q515/'Tax Tables'!$B$32*'Tax Tables'!$B$33,'Tax Tables'!$B$34),'Tax Tables'!$B$35),0)</f>
        <v>135</v>
      </c>
      <c r="W515" s="11" t="n">
        <f aca="false">Calculator!$B$5-P515-U515-V515</f>
        <v>132545</v>
      </c>
      <c r="X515" s="11" t="n">
        <f aca="false">'Tax Tables'!$B$22*(MAX(W515,0)-IF(Calculator!$B$10="Yes",MIN(MAX(W515,0),'Tax Tables'!$B$27)*'Tax Tables'!$B$28+MIN(MAX(MAX(W515,0)-'Tax Tables'!$B$27,0),'Tax Tables'!$B$29)*'Tax Tables'!$B$30,MIN(MAX(W515,0),'Tax Tables'!$B$23)*'Tax Tables'!$B$24+MIN(MAX(MAX(W515,0)-'Tax Tables'!$B$23,0),'Tax Tables'!$B$25)*'Tax Tables'!$B$26))*1-MIN('Tax Tables'!$B$22*(MAX(W515,0)-IF(Calculator!$B$10="Yes",MIN(MAX(W515,0),'Tax Tables'!$B$27)*'Tax Tables'!$B$28+MIN(MAX(MAX(W515,0)-'Tax Tables'!$B$27,0),'Tax Tables'!$B$29)*'Tax Tables'!$B$30,MIN(MAX(W515,0),'Tax Tables'!$B$23)*'Tax Tables'!$B$24+MIN(MAX(MAX(W515,0)-'Tax Tables'!$B$23,0),'Tax Tables'!$B$25)*'Tax Tables'!$B$26))*Calculator!$B$11,Calculator!$B$12)</f>
        <v>10841.325</v>
      </c>
      <c r="Y515" s="11" t="n">
        <f aca="false">MAX(W515,0)-X515</f>
        <v>121703.675</v>
      </c>
      <c r="Z515" s="11" t="n">
        <f aca="false">MIN(IF(P515&gt;0,Calculator!$B$13,0)+T515+Calculator!$B$14,'Tax Tables'!$B$36)</f>
        <v>20200</v>
      </c>
      <c r="AA515" s="11" t="n">
        <f aca="false">MAX(P515-Z515,0)</f>
        <v>230800</v>
      </c>
      <c r="AB515" s="11" t="n">
        <f aca="false">SUMPRODUCT((AA515&gt;'Tax Tables'!$A$5:$A$17)*(AA515-'Tax Tables'!$A$5:$A$17)*'Tax Tables'!$C$5:$C$17)</f>
        <v>27002</v>
      </c>
      <c r="AC515" s="11" t="n">
        <f aca="false">IF(W515&lt;0,-1E+099,P515-T515-AB515+Y515+(T515+U515)*Calculator!$B$9)</f>
        <v>362021.675</v>
      </c>
    </row>
    <row r="516" customFormat="false" ht="15" hidden="false" customHeight="false" outlineLevel="0" collapsed="false">
      <c r="A516" s="11" t="n">
        <f aca="false">503*$B$3</f>
        <v>251500</v>
      </c>
      <c r="B516" s="11" t="n">
        <f aca="false">0</f>
        <v>0</v>
      </c>
      <c r="C516" s="11" t="n">
        <f aca="false">A516-B516</f>
        <v>251500</v>
      </c>
      <c r="D516" s="11" t="n">
        <f aca="false">IF(Calculator!$B$6="Yes",MIN(B516,'Tax Tables'!$B$31*'Tax Tables'!$B$32),0)</f>
        <v>0</v>
      </c>
      <c r="E516" s="11" t="n">
        <f aca="false">D516*Calculator!$B$7</f>
        <v>0</v>
      </c>
      <c r="F516" s="11" t="n">
        <f aca="false">D516*Calculator!$B$8</f>
        <v>0</v>
      </c>
      <c r="G516" s="11" t="n">
        <f aca="false">IF(B516&gt;0,'Tax Tables'!$B$32*MIN(MAX(B516/'Tax Tables'!$B$32*'Tax Tables'!$B$33,'Tax Tables'!$B$34),'Tax Tables'!$B$35),0)</f>
        <v>0</v>
      </c>
      <c r="H516" s="11" t="n">
        <f aca="false">Calculator!$B$5-A516-F516-G516</f>
        <v>148500</v>
      </c>
      <c r="I516" s="11" t="n">
        <f aca="false">'Tax Tables'!$B$22*(MAX(H516,0)-IF(Calculator!$B$10="Yes",MIN(MAX(H516,0),'Tax Tables'!$B$27)*'Tax Tables'!$B$28+MIN(MAX(MAX(H516,0)-'Tax Tables'!$B$27,0),'Tax Tables'!$B$29)*'Tax Tables'!$B$30,MIN(MAX(H516,0),'Tax Tables'!$B$23)*'Tax Tables'!$B$24+MIN(MAX(MAX(H516,0)-'Tax Tables'!$B$23,0),'Tax Tables'!$B$25)*'Tax Tables'!$B$26))*1-MIN('Tax Tables'!$B$22*(MAX(H516,0)-IF(Calculator!$B$10="Yes",MIN(MAX(H516,0),'Tax Tables'!$B$27)*'Tax Tables'!$B$28+MIN(MAX(MAX(H516,0)-'Tax Tables'!$B$27,0),'Tax Tables'!$B$29)*'Tax Tables'!$B$30,MIN(MAX(H516,0),'Tax Tables'!$B$23)*'Tax Tables'!$B$24+MIN(MAX(MAX(H516,0)-'Tax Tables'!$B$23,0),'Tax Tables'!$B$25)*'Tax Tables'!$B$26))*Calculator!$B$11,Calculator!$B$12)</f>
        <v>12197.5</v>
      </c>
      <c r="J516" s="11" t="n">
        <f aca="false">MAX(H516,0)-I516</f>
        <v>136302.5</v>
      </c>
      <c r="K516" s="11" t="n">
        <f aca="false">MIN(IF(A516&gt;0,Calculator!$B$13,0)+E516+Calculator!$B$14,'Tax Tables'!$B$36)</f>
        <v>1000</v>
      </c>
      <c r="L516" s="11" t="n">
        <f aca="false">MAX(A516-K516,0)</f>
        <v>250500</v>
      </c>
      <c r="M516" s="11" t="n">
        <f aca="false">SUMPRODUCT((L516&gt;'Tax Tables'!$A$5:$A$17)*(L516-'Tax Tables'!$A$5:$A$17)*'Tax Tables'!$C$5:$C$17)</f>
        <v>30797.5</v>
      </c>
      <c r="N516" s="11" t="n">
        <f aca="false">IF(H516&lt;0,-1E+099,A516-E516-M516+J516+(E516+F516)*Calculator!$B$9)</f>
        <v>357005</v>
      </c>
      <c r="O516" s="2"/>
      <c r="P516" s="11" t="n">
        <f aca="false">503*$B$3</f>
        <v>251500</v>
      </c>
      <c r="Q516" s="11" t="n">
        <f aca="false">MIN(P516,'Tax Tables'!$B$31*'Tax Tables'!$B$32)</f>
        <v>96000</v>
      </c>
      <c r="R516" s="11" t="n">
        <f aca="false">P516-Q516</f>
        <v>155500</v>
      </c>
      <c r="S516" s="11" t="n">
        <f aca="false">IF(Calculator!$B$6="Yes",MIN(Q516,'Tax Tables'!$B$31*'Tax Tables'!$B$32),0)</f>
        <v>96000</v>
      </c>
      <c r="T516" s="11" t="n">
        <f aca="false">S516*Calculator!$B$7</f>
        <v>19200</v>
      </c>
      <c r="U516" s="11" t="n">
        <f aca="false">S516*Calculator!$B$8</f>
        <v>16320</v>
      </c>
      <c r="V516" s="11" t="n">
        <f aca="false">IF(Q516&gt;0,'Tax Tables'!$B$32*MIN(MAX(Q516/'Tax Tables'!$B$32*'Tax Tables'!$B$33,'Tax Tables'!$B$34),'Tax Tables'!$B$35),0)</f>
        <v>135</v>
      </c>
      <c r="W516" s="11" t="n">
        <f aca="false">Calculator!$B$5-P516-U516-V516</f>
        <v>132045</v>
      </c>
      <c r="X516" s="11" t="n">
        <f aca="false">'Tax Tables'!$B$22*(MAX(W516,0)-IF(Calculator!$B$10="Yes",MIN(MAX(W516,0),'Tax Tables'!$B$27)*'Tax Tables'!$B$28+MIN(MAX(MAX(W516,0)-'Tax Tables'!$B$27,0),'Tax Tables'!$B$29)*'Tax Tables'!$B$30,MIN(MAX(W516,0),'Tax Tables'!$B$23)*'Tax Tables'!$B$24+MIN(MAX(MAX(W516,0)-'Tax Tables'!$B$23,0),'Tax Tables'!$B$25)*'Tax Tables'!$B$26))*1-MIN('Tax Tables'!$B$22*(MAX(W516,0)-IF(Calculator!$B$10="Yes",MIN(MAX(W516,0),'Tax Tables'!$B$27)*'Tax Tables'!$B$28+MIN(MAX(MAX(W516,0)-'Tax Tables'!$B$27,0),'Tax Tables'!$B$29)*'Tax Tables'!$B$30,MIN(MAX(W516,0),'Tax Tables'!$B$23)*'Tax Tables'!$B$24+MIN(MAX(MAX(W516,0)-'Tax Tables'!$B$23,0),'Tax Tables'!$B$25)*'Tax Tables'!$B$26))*Calculator!$B$11,Calculator!$B$12)</f>
        <v>10798.825</v>
      </c>
      <c r="Y516" s="11" t="n">
        <f aca="false">MAX(W516,0)-X516</f>
        <v>121246.175</v>
      </c>
      <c r="Z516" s="11" t="n">
        <f aca="false">MIN(IF(P516&gt;0,Calculator!$B$13,0)+T516+Calculator!$B$14,'Tax Tables'!$B$36)</f>
        <v>20200</v>
      </c>
      <c r="AA516" s="11" t="n">
        <f aca="false">MAX(P516-Z516,0)</f>
        <v>231300</v>
      </c>
      <c r="AB516" s="11" t="n">
        <f aca="false">SUMPRODUCT((AA516&gt;'Tax Tables'!$A$5:$A$17)*(AA516-'Tax Tables'!$A$5:$A$17)*'Tax Tables'!$C$5:$C$17)</f>
        <v>27097</v>
      </c>
      <c r="AC516" s="11" t="n">
        <f aca="false">IF(W516&lt;0,-1E+099,P516-T516-AB516+Y516+(T516+U516)*Calculator!$B$9)</f>
        <v>361969.175</v>
      </c>
    </row>
    <row r="517" customFormat="false" ht="15" hidden="false" customHeight="false" outlineLevel="0" collapsed="false">
      <c r="A517" s="11" t="n">
        <f aca="false">504*$B$3</f>
        <v>252000</v>
      </c>
      <c r="B517" s="11" t="n">
        <f aca="false">0</f>
        <v>0</v>
      </c>
      <c r="C517" s="11" t="n">
        <f aca="false">A517-B517</f>
        <v>252000</v>
      </c>
      <c r="D517" s="11" t="n">
        <f aca="false">IF(Calculator!$B$6="Yes",MIN(B517,'Tax Tables'!$B$31*'Tax Tables'!$B$32),0)</f>
        <v>0</v>
      </c>
      <c r="E517" s="11" t="n">
        <f aca="false">D517*Calculator!$B$7</f>
        <v>0</v>
      </c>
      <c r="F517" s="11" t="n">
        <f aca="false">D517*Calculator!$B$8</f>
        <v>0</v>
      </c>
      <c r="G517" s="11" t="n">
        <f aca="false">IF(B517&gt;0,'Tax Tables'!$B$32*MIN(MAX(B517/'Tax Tables'!$B$32*'Tax Tables'!$B$33,'Tax Tables'!$B$34),'Tax Tables'!$B$35),0)</f>
        <v>0</v>
      </c>
      <c r="H517" s="11" t="n">
        <f aca="false">Calculator!$B$5-A517-F517-G517</f>
        <v>148000</v>
      </c>
      <c r="I517" s="11" t="n">
        <f aca="false">'Tax Tables'!$B$22*(MAX(H517,0)-IF(Calculator!$B$10="Yes",MIN(MAX(H517,0),'Tax Tables'!$B$27)*'Tax Tables'!$B$28+MIN(MAX(MAX(H517,0)-'Tax Tables'!$B$27,0),'Tax Tables'!$B$29)*'Tax Tables'!$B$30,MIN(MAX(H517,0),'Tax Tables'!$B$23)*'Tax Tables'!$B$24+MIN(MAX(MAX(H517,0)-'Tax Tables'!$B$23,0),'Tax Tables'!$B$25)*'Tax Tables'!$B$26))*1-MIN('Tax Tables'!$B$22*(MAX(H517,0)-IF(Calculator!$B$10="Yes",MIN(MAX(H517,0),'Tax Tables'!$B$27)*'Tax Tables'!$B$28+MIN(MAX(MAX(H517,0)-'Tax Tables'!$B$27,0),'Tax Tables'!$B$29)*'Tax Tables'!$B$30,MIN(MAX(H517,0),'Tax Tables'!$B$23)*'Tax Tables'!$B$24+MIN(MAX(MAX(H517,0)-'Tax Tables'!$B$23,0),'Tax Tables'!$B$25)*'Tax Tables'!$B$26))*Calculator!$B$11,Calculator!$B$12)</f>
        <v>12155</v>
      </c>
      <c r="J517" s="11" t="n">
        <f aca="false">MAX(H517,0)-I517</f>
        <v>135845</v>
      </c>
      <c r="K517" s="11" t="n">
        <f aca="false">MIN(IF(A517&gt;0,Calculator!$B$13,0)+E517+Calculator!$B$14,'Tax Tables'!$B$36)</f>
        <v>1000</v>
      </c>
      <c r="L517" s="11" t="n">
        <f aca="false">MAX(A517-K517,0)</f>
        <v>251000</v>
      </c>
      <c r="M517" s="11" t="n">
        <f aca="false">SUMPRODUCT((L517&gt;'Tax Tables'!$A$5:$A$17)*(L517-'Tax Tables'!$A$5:$A$17)*'Tax Tables'!$C$5:$C$17)</f>
        <v>30895</v>
      </c>
      <c r="N517" s="11" t="n">
        <f aca="false">IF(H517&lt;0,-1E+099,A517-E517-M517+J517+(E517+F517)*Calculator!$B$9)</f>
        <v>356950</v>
      </c>
      <c r="O517" s="2"/>
      <c r="P517" s="11" t="n">
        <f aca="false">504*$B$3</f>
        <v>252000</v>
      </c>
      <c r="Q517" s="11" t="n">
        <f aca="false">MIN(P517,'Tax Tables'!$B$31*'Tax Tables'!$B$32)</f>
        <v>96000</v>
      </c>
      <c r="R517" s="11" t="n">
        <f aca="false">P517-Q517</f>
        <v>156000</v>
      </c>
      <c r="S517" s="11" t="n">
        <f aca="false">IF(Calculator!$B$6="Yes",MIN(Q517,'Tax Tables'!$B$31*'Tax Tables'!$B$32),0)</f>
        <v>96000</v>
      </c>
      <c r="T517" s="11" t="n">
        <f aca="false">S517*Calculator!$B$7</f>
        <v>19200</v>
      </c>
      <c r="U517" s="11" t="n">
        <f aca="false">S517*Calculator!$B$8</f>
        <v>16320</v>
      </c>
      <c r="V517" s="11" t="n">
        <f aca="false">IF(Q517&gt;0,'Tax Tables'!$B$32*MIN(MAX(Q517/'Tax Tables'!$B$32*'Tax Tables'!$B$33,'Tax Tables'!$B$34),'Tax Tables'!$B$35),0)</f>
        <v>135</v>
      </c>
      <c r="W517" s="11" t="n">
        <f aca="false">Calculator!$B$5-P517-U517-V517</f>
        <v>131545</v>
      </c>
      <c r="X517" s="11" t="n">
        <f aca="false">'Tax Tables'!$B$22*(MAX(W517,0)-IF(Calculator!$B$10="Yes",MIN(MAX(W517,0),'Tax Tables'!$B$27)*'Tax Tables'!$B$28+MIN(MAX(MAX(W517,0)-'Tax Tables'!$B$27,0),'Tax Tables'!$B$29)*'Tax Tables'!$B$30,MIN(MAX(W517,0),'Tax Tables'!$B$23)*'Tax Tables'!$B$24+MIN(MAX(MAX(W517,0)-'Tax Tables'!$B$23,0),'Tax Tables'!$B$25)*'Tax Tables'!$B$26))*1-MIN('Tax Tables'!$B$22*(MAX(W517,0)-IF(Calculator!$B$10="Yes",MIN(MAX(W517,0),'Tax Tables'!$B$27)*'Tax Tables'!$B$28+MIN(MAX(MAX(W517,0)-'Tax Tables'!$B$27,0),'Tax Tables'!$B$29)*'Tax Tables'!$B$30,MIN(MAX(W517,0),'Tax Tables'!$B$23)*'Tax Tables'!$B$24+MIN(MAX(MAX(W517,0)-'Tax Tables'!$B$23,0),'Tax Tables'!$B$25)*'Tax Tables'!$B$26))*Calculator!$B$11,Calculator!$B$12)</f>
        <v>10756.325</v>
      </c>
      <c r="Y517" s="11" t="n">
        <f aca="false">MAX(W517,0)-X517</f>
        <v>120788.675</v>
      </c>
      <c r="Z517" s="11" t="n">
        <f aca="false">MIN(IF(P517&gt;0,Calculator!$B$13,0)+T517+Calculator!$B$14,'Tax Tables'!$B$36)</f>
        <v>20200</v>
      </c>
      <c r="AA517" s="11" t="n">
        <f aca="false">MAX(P517-Z517,0)</f>
        <v>231800</v>
      </c>
      <c r="AB517" s="11" t="n">
        <f aca="false">SUMPRODUCT((AA517&gt;'Tax Tables'!$A$5:$A$17)*(AA517-'Tax Tables'!$A$5:$A$17)*'Tax Tables'!$C$5:$C$17)</f>
        <v>27192</v>
      </c>
      <c r="AC517" s="11" t="n">
        <f aca="false">IF(W517&lt;0,-1E+099,P517-T517-AB517+Y517+(T517+U517)*Calculator!$B$9)</f>
        <v>361916.675</v>
      </c>
    </row>
    <row r="518" customFormat="false" ht="15" hidden="false" customHeight="false" outlineLevel="0" collapsed="false">
      <c r="A518" s="11" t="n">
        <f aca="false">505*$B$3</f>
        <v>252500</v>
      </c>
      <c r="B518" s="11" t="n">
        <f aca="false">0</f>
        <v>0</v>
      </c>
      <c r="C518" s="11" t="n">
        <f aca="false">A518-B518</f>
        <v>252500</v>
      </c>
      <c r="D518" s="11" t="n">
        <f aca="false">IF(Calculator!$B$6="Yes",MIN(B518,'Tax Tables'!$B$31*'Tax Tables'!$B$32),0)</f>
        <v>0</v>
      </c>
      <c r="E518" s="11" t="n">
        <f aca="false">D518*Calculator!$B$7</f>
        <v>0</v>
      </c>
      <c r="F518" s="11" t="n">
        <f aca="false">D518*Calculator!$B$8</f>
        <v>0</v>
      </c>
      <c r="G518" s="11" t="n">
        <f aca="false">IF(B518&gt;0,'Tax Tables'!$B$32*MIN(MAX(B518/'Tax Tables'!$B$32*'Tax Tables'!$B$33,'Tax Tables'!$B$34),'Tax Tables'!$B$35),0)</f>
        <v>0</v>
      </c>
      <c r="H518" s="11" t="n">
        <f aca="false">Calculator!$B$5-A518-F518-G518</f>
        <v>147500</v>
      </c>
      <c r="I518" s="11" t="n">
        <f aca="false">'Tax Tables'!$B$22*(MAX(H518,0)-IF(Calculator!$B$10="Yes",MIN(MAX(H518,0),'Tax Tables'!$B$27)*'Tax Tables'!$B$28+MIN(MAX(MAX(H518,0)-'Tax Tables'!$B$27,0),'Tax Tables'!$B$29)*'Tax Tables'!$B$30,MIN(MAX(H518,0),'Tax Tables'!$B$23)*'Tax Tables'!$B$24+MIN(MAX(MAX(H518,0)-'Tax Tables'!$B$23,0),'Tax Tables'!$B$25)*'Tax Tables'!$B$26))*1-MIN('Tax Tables'!$B$22*(MAX(H518,0)-IF(Calculator!$B$10="Yes",MIN(MAX(H518,0),'Tax Tables'!$B$27)*'Tax Tables'!$B$28+MIN(MAX(MAX(H518,0)-'Tax Tables'!$B$27,0),'Tax Tables'!$B$29)*'Tax Tables'!$B$30,MIN(MAX(H518,0),'Tax Tables'!$B$23)*'Tax Tables'!$B$24+MIN(MAX(MAX(H518,0)-'Tax Tables'!$B$23,0),'Tax Tables'!$B$25)*'Tax Tables'!$B$26))*Calculator!$B$11,Calculator!$B$12)</f>
        <v>12112.5</v>
      </c>
      <c r="J518" s="11" t="n">
        <f aca="false">MAX(H518,0)-I518</f>
        <v>135387.5</v>
      </c>
      <c r="K518" s="11" t="n">
        <f aca="false">MIN(IF(A518&gt;0,Calculator!$B$13,0)+E518+Calculator!$B$14,'Tax Tables'!$B$36)</f>
        <v>1000</v>
      </c>
      <c r="L518" s="11" t="n">
        <f aca="false">MAX(A518-K518,0)</f>
        <v>251500</v>
      </c>
      <c r="M518" s="11" t="n">
        <f aca="false">SUMPRODUCT((L518&gt;'Tax Tables'!$A$5:$A$17)*(L518-'Tax Tables'!$A$5:$A$17)*'Tax Tables'!$C$5:$C$17)</f>
        <v>30992.5</v>
      </c>
      <c r="N518" s="11" t="n">
        <f aca="false">IF(H518&lt;0,-1E+099,A518-E518-M518+J518+(E518+F518)*Calculator!$B$9)</f>
        <v>356895</v>
      </c>
      <c r="O518" s="2"/>
      <c r="P518" s="11" t="n">
        <f aca="false">505*$B$3</f>
        <v>252500</v>
      </c>
      <c r="Q518" s="11" t="n">
        <f aca="false">MIN(P518,'Tax Tables'!$B$31*'Tax Tables'!$B$32)</f>
        <v>96000</v>
      </c>
      <c r="R518" s="11" t="n">
        <f aca="false">P518-Q518</f>
        <v>156500</v>
      </c>
      <c r="S518" s="11" t="n">
        <f aca="false">IF(Calculator!$B$6="Yes",MIN(Q518,'Tax Tables'!$B$31*'Tax Tables'!$B$32),0)</f>
        <v>96000</v>
      </c>
      <c r="T518" s="11" t="n">
        <f aca="false">S518*Calculator!$B$7</f>
        <v>19200</v>
      </c>
      <c r="U518" s="11" t="n">
        <f aca="false">S518*Calculator!$B$8</f>
        <v>16320</v>
      </c>
      <c r="V518" s="11" t="n">
        <f aca="false">IF(Q518&gt;0,'Tax Tables'!$B$32*MIN(MAX(Q518/'Tax Tables'!$B$32*'Tax Tables'!$B$33,'Tax Tables'!$B$34),'Tax Tables'!$B$35),0)</f>
        <v>135</v>
      </c>
      <c r="W518" s="11" t="n">
        <f aca="false">Calculator!$B$5-P518-U518-V518</f>
        <v>131045</v>
      </c>
      <c r="X518" s="11" t="n">
        <f aca="false">'Tax Tables'!$B$22*(MAX(W518,0)-IF(Calculator!$B$10="Yes",MIN(MAX(W518,0),'Tax Tables'!$B$27)*'Tax Tables'!$B$28+MIN(MAX(MAX(W518,0)-'Tax Tables'!$B$27,0),'Tax Tables'!$B$29)*'Tax Tables'!$B$30,MIN(MAX(W518,0),'Tax Tables'!$B$23)*'Tax Tables'!$B$24+MIN(MAX(MAX(W518,0)-'Tax Tables'!$B$23,0),'Tax Tables'!$B$25)*'Tax Tables'!$B$26))*1-MIN('Tax Tables'!$B$22*(MAX(W518,0)-IF(Calculator!$B$10="Yes",MIN(MAX(W518,0),'Tax Tables'!$B$27)*'Tax Tables'!$B$28+MIN(MAX(MAX(W518,0)-'Tax Tables'!$B$27,0),'Tax Tables'!$B$29)*'Tax Tables'!$B$30,MIN(MAX(W518,0),'Tax Tables'!$B$23)*'Tax Tables'!$B$24+MIN(MAX(MAX(W518,0)-'Tax Tables'!$B$23,0),'Tax Tables'!$B$25)*'Tax Tables'!$B$26))*Calculator!$B$11,Calculator!$B$12)</f>
        <v>10713.825</v>
      </c>
      <c r="Y518" s="11" t="n">
        <f aca="false">MAX(W518,0)-X518</f>
        <v>120331.175</v>
      </c>
      <c r="Z518" s="11" t="n">
        <f aca="false">MIN(IF(P518&gt;0,Calculator!$B$13,0)+T518+Calculator!$B$14,'Tax Tables'!$B$36)</f>
        <v>20200</v>
      </c>
      <c r="AA518" s="11" t="n">
        <f aca="false">MAX(P518-Z518,0)</f>
        <v>232300</v>
      </c>
      <c r="AB518" s="11" t="n">
        <f aca="false">SUMPRODUCT((AA518&gt;'Tax Tables'!$A$5:$A$17)*(AA518-'Tax Tables'!$A$5:$A$17)*'Tax Tables'!$C$5:$C$17)</f>
        <v>27287</v>
      </c>
      <c r="AC518" s="11" t="n">
        <f aca="false">IF(W518&lt;0,-1E+099,P518-T518-AB518+Y518+(T518+U518)*Calculator!$B$9)</f>
        <v>361864.175</v>
      </c>
    </row>
    <row r="519" customFormat="false" ht="15" hidden="false" customHeight="false" outlineLevel="0" collapsed="false">
      <c r="A519" s="11" t="n">
        <f aca="false">506*$B$3</f>
        <v>253000</v>
      </c>
      <c r="B519" s="11" t="n">
        <f aca="false">0</f>
        <v>0</v>
      </c>
      <c r="C519" s="11" t="n">
        <f aca="false">A519-B519</f>
        <v>253000</v>
      </c>
      <c r="D519" s="11" t="n">
        <f aca="false">IF(Calculator!$B$6="Yes",MIN(B519,'Tax Tables'!$B$31*'Tax Tables'!$B$32),0)</f>
        <v>0</v>
      </c>
      <c r="E519" s="11" t="n">
        <f aca="false">D519*Calculator!$B$7</f>
        <v>0</v>
      </c>
      <c r="F519" s="11" t="n">
        <f aca="false">D519*Calculator!$B$8</f>
        <v>0</v>
      </c>
      <c r="G519" s="11" t="n">
        <f aca="false">IF(B519&gt;0,'Tax Tables'!$B$32*MIN(MAX(B519/'Tax Tables'!$B$32*'Tax Tables'!$B$33,'Tax Tables'!$B$34),'Tax Tables'!$B$35),0)</f>
        <v>0</v>
      </c>
      <c r="H519" s="11" t="n">
        <f aca="false">Calculator!$B$5-A519-F519-G519</f>
        <v>147000</v>
      </c>
      <c r="I519" s="11" t="n">
        <f aca="false">'Tax Tables'!$B$22*(MAX(H519,0)-IF(Calculator!$B$10="Yes",MIN(MAX(H519,0),'Tax Tables'!$B$27)*'Tax Tables'!$B$28+MIN(MAX(MAX(H519,0)-'Tax Tables'!$B$27,0),'Tax Tables'!$B$29)*'Tax Tables'!$B$30,MIN(MAX(H519,0),'Tax Tables'!$B$23)*'Tax Tables'!$B$24+MIN(MAX(MAX(H519,0)-'Tax Tables'!$B$23,0),'Tax Tables'!$B$25)*'Tax Tables'!$B$26))*1-MIN('Tax Tables'!$B$22*(MAX(H519,0)-IF(Calculator!$B$10="Yes",MIN(MAX(H519,0),'Tax Tables'!$B$27)*'Tax Tables'!$B$28+MIN(MAX(MAX(H519,0)-'Tax Tables'!$B$27,0),'Tax Tables'!$B$29)*'Tax Tables'!$B$30,MIN(MAX(H519,0),'Tax Tables'!$B$23)*'Tax Tables'!$B$24+MIN(MAX(MAX(H519,0)-'Tax Tables'!$B$23,0),'Tax Tables'!$B$25)*'Tax Tables'!$B$26))*Calculator!$B$11,Calculator!$B$12)</f>
        <v>12070</v>
      </c>
      <c r="J519" s="11" t="n">
        <f aca="false">MAX(H519,0)-I519</f>
        <v>134930</v>
      </c>
      <c r="K519" s="11" t="n">
        <f aca="false">MIN(IF(A519&gt;0,Calculator!$B$13,0)+E519+Calculator!$B$14,'Tax Tables'!$B$36)</f>
        <v>1000</v>
      </c>
      <c r="L519" s="11" t="n">
        <f aca="false">MAX(A519-K519,0)</f>
        <v>252000</v>
      </c>
      <c r="M519" s="11" t="n">
        <f aca="false">SUMPRODUCT((L519&gt;'Tax Tables'!$A$5:$A$17)*(L519-'Tax Tables'!$A$5:$A$17)*'Tax Tables'!$C$5:$C$17)</f>
        <v>31090</v>
      </c>
      <c r="N519" s="11" t="n">
        <f aca="false">IF(H519&lt;0,-1E+099,A519-E519-M519+J519+(E519+F519)*Calculator!$B$9)</f>
        <v>356840</v>
      </c>
      <c r="O519" s="2"/>
      <c r="P519" s="11" t="n">
        <f aca="false">506*$B$3</f>
        <v>253000</v>
      </c>
      <c r="Q519" s="11" t="n">
        <f aca="false">MIN(P519,'Tax Tables'!$B$31*'Tax Tables'!$B$32)</f>
        <v>96000</v>
      </c>
      <c r="R519" s="11" t="n">
        <f aca="false">P519-Q519</f>
        <v>157000</v>
      </c>
      <c r="S519" s="11" t="n">
        <f aca="false">IF(Calculator!$B$6="Yes",MIN(Q519,'Tax Tables'!$B$31*'Tax Tables'!$B$32),0)</f>
        <v>96000</v>
      </c>
      <c r="T519" s="11" t="n">
        <f aca="false">S519*Calculator!$B$7</f>
        <v>19200</v>
      </c>
      <c r="U519" s="11" t="n">
        <f aca="false">S519*Calculator!$B$8</f>
        <v>16320</v>
      </c>
      <c r="V519" s="11" t="n">
        <f aca="false">IF(Q519&gt;0,'Tax Tables'!$B$32*MIN(MAX(Q519/'Tax Tables'!$B$32*'Tax Tables'!$B$33,'Tax Tables'!$B$34),'Tax Tables'!$B$35),0)</f>
        <v>135</v>
      </c>
      <c r="W519" s="11" t="n">
        <f aca="false">Calculator!$B$5-P519-U519-V519</f>
        <v>130545</v>
      </c>
      <c r="X519" s="11" t="n">
        <f aca="false">'Tax Tables'!$B$22*(MAX(W519,0)-IF(Calculator!$B$10="Yes",MIN(MAX(W519,0),'Tax Tables'!$B$27)*'Tax Tables'!$B$28+MIN(MAX(MAX(W519,0)-'Tax Tables'!$B$27,0),'Tax Tables'!$B$29)*'Tax Tables'!$B$30,MIN(MAX(W519,0),'Tax Tables'!$B$23)*'Tax Tables'!$B$24+MIN(MAX(MAX(W519,0)-'Tax Tables'!$B$23,0),'Tax Tables'!$B$25)*'Tax Tables'!$B$26))*1-MIN('Tax Tables'!$B$22*(MAX(W519,0)-IF(Calculator!$B$10="Yes",MIN(MAX(W519,0),'Tax Tables'!$B$27)*'Tax Tables'!$B$28+MIN(MAX(MAX(W519,0)-'Tax Tables'!$B$27,0),'Tax Tables'!$B$29)*'Tax Tables'!$B$30,MIN(MAX(W519,0),'Tax Tables'!$B$23)*'Tax Tables'!$B$24+MIN(MAX(MAX(W519,0)-'Tax Tables'!$B$23,0),'Tax Tables'!$B$25)*'Tax Tables'!$B$26))*Calculator!$B$11,Calculator!$B$12)</f>
        <v>10671.325</v>
      </c>
      <c r="Y519" s="11" t="n">
        <f aca="false">MAX(W519,0)-X519</f>
        <v>119873.675</v>
      </c>
      <c r="Z519" s="11" t="n">
        <f aca="false">MIN(IF(P519&gt;0,Calculator!$B$13,0)+T519+Calculator!$B$14,'Tax Tables'!$B$36)</f>
        <v>20200</v>
      </c>
      <c r="AA519" s="11" t="n">
        <f aca="false">MAX(P519-Z519,0)</f>
        <v>232800</v>
      </c>
      <c r="AB519" s="11" t="n">
        <f aca="false">SUMPRODUCT((AA519&gt;'Tax Tables'!$A$5:$A$17)*(AA519-'Tax Tables'!$A$5:$A$17)*'Tax Tables'!$C$5:$C$17)</f>
        <v>27382</v>
      </c>
      <c r="AC519" s="11" t="n">
        <f aca="false">IF(W519&lt;0,-1E+099,P519-T519-AB519+Y519+(T519+U519)*Calculator!$B$9)</f>
        <v>361811.675</v>
      </c>
    </row>
    <row r="520" customFormat="false" ht="15" hidden="false" customHeight="false" outlineLevel="0" collapsed="false">
      <c r="A520" s="11" t="n">
        <f aca="false">507*$B$3</f>
        <v>253500</v>
      </c>
      <c r="B520" s="11" t="n">
        <f aca="false">0</f>
        <v>0</v>
      </c>
      <c r="C520" s="11" t="n">
        <f aca="false">A520-B520</f>
        <v>253500</v>
      </c>
      <c r="D520" s="11" t="n">
        <f aca="false">IF(Calculator!$B$6="Yes",MIN(B520,'Tax Tables'!$B$31*'Tax Tables'!$B$32),0)</f>
        <v>0</v>
      </c>
      <c r="E520" s="11" t="n">
        <f aca="false">D520*Calculator!$B$7</f>
        <v>0</v>
      </c>
      <c r="F520" s="11" t="n">
        <f aca="false">D520*Calculator!$B$8</f>
        <v>0</v>
      </c>
      <c r="G520" s="11" t="n">
        <f aca="false">IF(B520&gt;0,'Tax Tables'!$B$32*MIN(MAX(B520/'Tax Tables'!$B$32*'Tax Tables'!$B$33,'Tax Tables'!$B$34),'Tax Tables'!$B$35),0)</f>
        <v>0</v>
      </c>
      <c r="H520" s="11" t="n">
        <f aca="false">Calculator!$B$5-A520-F520-G520</f>
        <v>146500</v>
      </c>
      <c r="I520" s="11" t="n">
        <f aca="false">'Tax Tables'!$B$22*(MAX(H520,0)-IF(Calculator!$B$10="Yes",MIN(MAX(H520,0),'Tax Tables'!$B$27)*'Tax Tables'!$B$28+MIN(MAX(MAX(H520,0)-'Tax Tables'!$B$27,0),'Tax Tables'!$B$29)*'Tax Tables'!$B$30,MIN(MAX(H520,0),'Tax Tables'!$B$23)*'Tax Tables'!$B$24+MIN(MAX(MAX(H520,0)-'Tax Tables'!$B$23,0),'Tax Tables'!$B$25)*'Tax Tables'!$B$26))*1-MIN('Tax Tables'!$B$22*(MAX(H520,0)-IF(Calculator!$B$10="Yes",MIN(MAX(H520,0),'Tax Tables'!$B$27)*'Tax Tables'!$B$28+MIN(MAX(MAX(H520,0)-'Tax Tables'!$B$27,0),'Tax Tables'!$B$29)*'Tax Tables'!$B$30,MIN(MAX(H520,0),'Tax Tables'!$B$23)*'Tax Tables'!$B$24+MIN(MAX(MAX(H520,0)-'Tax Tables'!$B$23,0),'Tax Tables'!$B$25)*'Tax Tables'!$B$26))*Calculator!$B$11,Calculator!$B$12)</f>
        <v>12027.5</v>
      </c>
      <c r="J520" s="11" t="n">
        <f aca="false">MAX(H520,0)-I520</f>
        <v>134472.5</v>
      </c>
      <c r="K520" s="11" t="n">
        <f aca="false">MIN(IF(A520&gt;0,Calculator!$B$13,0)+E520+Calculator!$B$14,'Tax Tables'!$B$36)</f>
        <v>1000</v>
      </c>
      <c r="L520" s="11" t="n">
        <f aca="false">MAX(A520-K520,0)</f>
        <v>252500</v>
      </c>
      <c r="M520" s="11" t="n">
        <f aca="false">SUMPRODUCT((L520&gt;'Tax Tables'!$A$5:$A$17)*(L520-'Tax Tables'!$A$5:$A$17)*'Tax Tables'!$C$5:$C$17)</f>
        <v>31187.5</v>
      </c>
      <c r="N520" s="11" t="n">
        <f aca="false">IF(H520&lt;0,-1E+099,A520-E520-M520+J520+(E520+F520)*Calculator!$B$9)</f>
        <v>356785</v>
      </c>
      <c r="O520" s="2"/>
      <c r="P520" s="11" t="n">
        <f aca="false">507*$B$3</f>
        <v>253500</v>
      </c>
      <c r="Q520" s="11" t="n">
        <f aca="false">MIN(P520,'Tax Tables'!$B$31*'Tax Tables'!$B$32)</f>
        <v>96000</v>
      </c>
      <c r="R520" s="11" t="n">
        <f aca="false">P520-Q520</f>
        <v>157500</v>
      </c>
      <c r="S520" s="11" t="n">
        <f aca="false">IF(Calculator!$B$6="Yes",MIN(Q520,'Tax Tables'!$B$31*'Tax Tables'!$B$32),0)</f>
        <v>96000</v>
      </c>
      <c r="T520" s="11" t="n">
        <f aca="false">S520*Calculator!$B$7</f>
        <v>19200</v>
      </c>
      <c r="U520" s="11" t="n">
        <f aca="false">S520*Calculator!$B$8</f>
        <v>16320</v>
      </c>
      <c r="V520" s="11" t="n">
        <f aca="false">IF(Q520&gt;0,'Tax Tables'!$B$32*MIN(MAX(Q520/'Tax Tables'!$B$32*'Tax Tables'!$B$33,'Tax Tables'!$B$34),'Tax Tables'!$B$35),0)</f>
        <v>135</v>
      </c>
      <c r="W520" s="11" t="n">
        <f aca="false">Calculator!$B$5-P520-U520-V520</f>
        <v>130045</v>
      </c>
      <c r="X520" s="11" t="n">
        <f aca="false">'Tax Tables'!$B$22*(MAX(W520,0)-IF(Calculator!$B$10="Yes",MIN(MAX(W520,0),'Tax Tables'!$B$27)*'Tax Tables'!$B$28+MIN(MAX(MAX(W520,0)-'Tax Tables'!$B$27,0),'Tax Tables'!$B$29)*'Tax Tables'!$B$30,MIN(MAX(W520,0),'Tax Tables'!$B$23)*'Tax Tables'!$B$24+MIN(MAX(MAX(W520,0)-'Tax Tables'!$B$23,0),'Tax Tables'!$B$25)*'Tax Tables'!$B$26))*1-MIN('Tax Tables'!$B$22*(MAX(W520,0)-IF(Calculator!$B$10="Yes",MIN(MAX(W520,0),'Tax Tables'!$B$27)*'Tax Tables'!$B$28+MIN(MAX(MAX(W520,0)-'Tax Tables'!$B$27,0),'Tax Tables'!$B$29)*'Tax Tables'!$B$30,MIN(MAX(W520,0),'Tax Tables'!$B$23)*'Tax Tables'!$B$24+MIN(MAX(MAX(W520,0)-'Tax Tables'!$B$23,0),'Tax Tables'!$B$25)*'Tax Tables'!$B$26))*Calculator!$B$11,Calculator!$B$12)</f>
        <v>10628.825</v>
      </c>
      <c r="Y520" s="11" t="n">
        <f aca="false">MAX(W520,0)-X520</f>
        <v>119416.175</v>
      </c>
      <c r="Z520" s="11" t="n">
        <f aca="false">MIN(IF(P520&gt;0,Calculator!$B$13,0)+T520+Calculator!$B$14,'Tax Tables'!$B$36)</f>
        <v>20200</v>
      </c>
      <c r="AA520" s="11" t="n">
        <f aca="false">MAX(P520-Z520,0)</f>
        <v>233300</v>
      </c>
      <c r="AB520" s="11" t="n">
        <f aca="false">SUMPRODUCT((AA520&gt;'Tax Tables'!$A$5:$A$17)*(AA520-'Tax Tables'!$A$5:$A$17)*'Tax Tables'!$C$5:$C$17)</f>
        <v>27477</v>
      </c>
      <c r="AC520" s="11" t="n">
        <f aca="false">IF(W520&lt;0,-1E+099,P520-T520-AB520+Y520+(T520+U520)*Calculator!$B$9)</f>
        <v>361759.175</v>
      </c>
    </row>
    <row r="521" customFormat="false" ht="15" hidden="false" customHeight="false" outlineLevel="0" collapsed="false">
      <c r="A521" s="11" t="n">
        <f aca="false">508*$B$3</f>
        <v>254000</v>
      </c>
      <c r="B521" s="11" t="n">
        <f aca="false">0</f>
        <v>0</v>
      </c>
      <c r="C521" s="11" t="n">
        <f aca="false">A521-B521</f>
        <v>254000</v>
      </c>
      <c r="D521" s="11" t="n">
        <f aca="false">IF(Calculator!$B$6="Yes",MIN(B521,'Tax Tables'!$B$31*'Tax Tables'!$B$32),0)</f>
        <v>0</v>
      </c>
      <c r="E521" s="11" t="n">
        <f aca="false">D521*Calculator!$B$7</f>
        <v>0</v>
      </c>
      <c r="F521" s="11" t="n">
        <f aca="false">D521*Calculator!$B$8</f>
        <v>0</v>
      </c>
      <c r="G521" s="11" t="n">
        <f aca="false">IF(B521&gt;0,'Tax Tables'!$B$32*MIN(MAX(B521/'Tax Tables'!$B$32*'Tax Tables'!$B$33,'Tax Tables'!$B$34),'Tax Tables'!$B$35),0)</f>
        <v>0</v>
      </c>
      <c r="H521" s="11" t="n">
        <f aca="false">Calculator!$B$5-A521-F521-G521</f>
        <v>146000</v>
      </c>
      <c r="I521" s="11" t="n">
        <f aca="false">'Tax Tables'!$B$22*(MAX(H521,0)-IF(Calculator!$B$10="Yes",MIN(MAX(H521,0),'Tax Tables'!$B$27)*'Tax Tables'!$B$28+MIN(MAX(MAX(H521,0)-'Tax Tables'!$B$27,0),'Tax Tables'!$B$29)*'Tax Tables'!$B$30,MIN(MAX(H521,0),'Tax Tables'!$B$23)*'Tax Tables'!$B$24+MIN(MAX(MAX(H521,0)-'Tax Tables'!$B$23,0),'Tax Tables'!$B$25)*'Tax Tables'!$B$26))*1-MIN('Tax Tables'!$B$22*(MAX(H521,0)-IF(Calculator!$B$10="Yes",MIN(MAX(H521,0),'Tax Tables'!$B$27)*'Tax Tables'!$B$28+MIN(MAX(MAX(H521,0)-'Tax Tables'!$B$27,0),'Tax Tables'!$B$29)*'Tax Tables'!$B$30,MIN(MAX(H521,0),'Tax Tables'!$B$23)*'Tax Tables'!$B$24+MIN(MAX(MAX(H521,0)-'Tax Tables'!$B$23,0),'Tax Tables'!$B$25)*'Tax Tables'!$B$26))*Calculator!$B$11,Calculator!$B$12)</f>
        <v>11985</v>
      </c>
      <c r="J521" s="11" t="n">
        <f aca="false">MAX(H521,0)-I521</f>
        <v>134015</v>
      </c>
      <c r="K521" s="11" t="n">
        <f aca="false">MIN(IF(A521&gt;0,Calculator!$B$13,0)+E521+Calculator!$B$14,'Tax Tables'!$B$36)</f>
        <v>1000</v>
      </c>
      <c r="L521" s="11" t="n">
        <f aca="false">MAX(A521-K521,0)</f>
        <v>253000</v>
      </c>
      <c r="M521" s="11" t="n">
        <f aca="false">SUMPRODUCT((L521&gt;'Tax Tables'!$A$5:$A$17)*(L521-'Tax Tables'!$A$5:$A$17)*'Tax Tables'!$C$5:$C$17)</f>
        <v>31285</v>
      </c>
      <c r="N521" s="11" t="n">
        <f aca="false">IF(H521&lt;0,-1E+099,A521-E521-M521+J521+(E521+F521)*Calculator!$B$9)</f>
        <v>356730</v>
      </c>
      <c r="O521" s="2"/>
      <c r="P521" s="11" t="n">
        <f aca="false">508*$B$3</f>
        <v>254000</v>
      </c>
      <c r="Q521" s="11" t="n">
        <f aca="false">MIN(P521,'Tax Tables'!$B$31*'Tax Tables'!$B$32)</f>
        <v>96000</v>
      </c>
      <c r="R521" s="11" t="n">
        <f aca="false">P521-Q521</f>
        <v>158000</v>
      </c>
      <c r="S521" s="11" t="n">
        <f aca="false">IF(Calculator!$B$6="Yes",MIN(Q521,'Tax Tables'!$B$31*'Tax Tables'!$B$32),0)</f>
        <v>96000</v>
      </c>
      <c r="T521" s="11" t="n">
        <f aca="false">S521*Calculator!$B$7</f>
        <v>19200</v>
      </c>
      <c r="U521" s="11" t="n">
        <f aca="false">S521*Calculator!$B$8</f>
        <v>16320</v>
      </c>
      <c r="V521" s="11" t="n">
        <f aca="false">IF(Q521&gt;0,'Tax Tables'!$B$32*MIN(MAX(Q521/'Tax Tables'!$B$32*'Tax Tables'!$B$33,'Tax Tables'!$B$34),'Tax Tables'!$B$35),0)</f>
        <v>135</v>
      </c>
      <c r="W521" s="11" t="n">
        <f aca="false">Calculator!$B$5-P521-U521-V521</f>
        <v>129545</v>
      </c>
      <c r="X521" s="11" t="n">
        <f aca="false">'Tax Tables'!$B$22*(MAX(W521,0)-IF(Calculator!$B$10="Yes",MIN(MAX(W521,0),'Tax Tables'!$B$27)*'Tax Tables'!$B$28+MIN(MAX(MAX(W521,0)-'Tax Tables'!$B$27,0),'Tax Tables'!$B$29)*'Tax Tables'!$B$30,MIN(MAX(W521,0),'Tax Tables'!$B$23)*'Tax Tables'!$B$24+MIN(MAX(MAX(W521,0)-'Tax Tables'!$B$23,0),'Tax Tables'!$B$25)*'Tax Tables'!$B$26))*1-MIN('Tax Tables'!$B$22*(MAX(W521,0)-IF(Calculator!$B$10="Yes",MIN(MAX(W521,0),'Tax Tables'!$B$27)*'Tax Tables'!$B$28+MIN(MAX(MAX(W521,0)-'Tax Tables'!$B$27,0),'Tax Tables'!$B$29)*'Tax Tables'!$B$30,MIN(MAX(W521,0),'Tax Tables'!$B$23)*'Tax Tables'!$B$24+MIN(MAX(MAX(W521,0)-'Tax Tables'!$B$23,0),'Tax Tables'!$B$25)*'Tax Tables'!$B$26))*Calculator!$B$11,Calculator!$B$12)</f>
        <v>10586.325</v>
      </c>
      <c r="Y521" s="11" t="n">
        <f aca="false">MAX(W521,0)-X521</f>
        <v>118958.675</v>
      </c>
      <c r="Z521" s="11" t="n">
        <f aca="false">MIN(IF(P521&gt;0,Calculator!$B$13,0)+T521+Calculator!$B$14,'Tax Tables'!$B$36)</f>
        <v>20200</v>
      </c>
      <c r="AA521" s="11" t="n">
        <f aca="false">MAX(P521-Z521,0)</f>
        <v>233800</v>
      </c>
      <c r="AB521" s="11" t="n">
        <f aca="false">SUMPRODUCT((AA521&gt;'Tax Tables'!$A$5:$A$17)*(AA521-'Tax Tables'!$A$5:$A$17)*'Tax Tables'!$C$5:$C$17)</f>
        <v>27572</v>
      </c>
      <c r="AC521" s="11" t="n">
        <f aca="false">IF(W521&lt;0,-1E+099,P521-T521-AB521+Y521+(T521+U521)*Calculator!$B$9)</f>
        <v>361706.675</v>
      </c>
    </row>
    <row r="522" customFormat="false" ht="15" hidden="false" customHeight="false" outlineLevel="0" collapsed="false">
      <c r="A522" s="11" t="n">
        <f aca="false">509*$B$3</f>
        <v>254500</v>
      </c>
      <c r="B522" s="11" t="n">
        <f aca="false">0</f>
        <v>0</v>
      </c>
      <c r="C522" s="11" t="n">
        <f aca="false">A522-B522</f>
        <v>254500</v>
      </c>
      <c r="D522" s="11" t="n">
        <f aca="false">IF(Calculator!$B$6="Yes",MIN(B522,'Tax Tables'!$B$31*'Tax Tables'!$B$32),0)</f>
        <v>0</v>
      </c>
      <c r="E522" s="11" t="n">
        <f aca="false">D522*Calculator!$B$7</f>
        <v>0</v>
      </c>
      <c r="F522" s="11" t="n">
        <f aca="false">D522*Calculator!$B$8</f>
        <v>0</v>
      </c>
      <c r="G522" s="11" t="n">
        <f aca="false">IF(B522&gt;0,'Tax Tables'!$B$32*MIN(MAX(B522/'Tax Tables'!$B$32*'Tax Tables'!$B$33,'Tax Tables'!$B$34),'Tax Tables'!$B$35),0)</f>
        <v>0</v>
      </c>
      <c r="H522" s="11" t="n">
        <f aca="false">Calculator!$B$5-A522-F522-G522</f>
        <v>145500</v>
      </c>
      <c r="I522" s="11" t="n">
        <f aca="false">'Tax Tables'!$B$22*(MAX(H522,0)-IF(Calculator!$B$10="Yes",MIN(MAX(H522,0),'Tax Tables'!$B$27)*'Tax Tables'!$B$28+MIN(MAX(MAX(H522,0)-'Tax Tables'!$B$27,0),'Tax Tables'!$B$29)*'Tax Tables'!$B$30,MIN(MAX(H522,0),'Tax Tables'!$B$23)*'Tax Tables'!$B$24+MIN(MAX(MAX(H522,0)-'Tax Tables'!$B$23,0),'Tax Tables'!$B$25)*'Tax Tables'!$B$26))*1-MIN('Tax Tables'!$B$22*(MAX(H522,0)-IF(Calculator!$B$10="Yes",MIN(MAX(H522,0),'Tax Tables'!$B$27)*'Tax Tables'!$B$28+MIN(MAX(MAX(H522,0)-'Tax Tables'!$B$27,0),'Tax Tables'!$B$29)*'Tax Tables'!$B$30,MIN(MAX(H522,0),'Tax Tables'!$B$23)*'Tax Tables'!$B$24+MIN(MAX(MAX(H522,0)-'Tax Tables'!$B$23,0),'Tax Tables'!$B$25)*'Tax Tables'!$B$26))*Calculator!$B$11,Calculator!$B$12)</f>
        <v>11942.5</v>
      </c>
      <c r="J522" s="11" t="n">
        <f aca="false">MAX(H522,0)-I522</f>
        <v>133557.5</v>
      </c>
      <c r="K522" s="11" t="n">
        <f aca="false">MIN(IF(A522&gt;0,Calculator!$B$13,0)+E522+Calculator!$B$14,'Tax Tables'!$B$36)</f>
        <v>1000</v>
      </c>
      <c r="L522" s="11" t="n">
        <f aca="false">MAX(A522-K522,0)</f>
        <v>253500</v>
      </c>
      <c r="M522" s="11" t="n">
        <f aca="false">SUMPRODUCT((L522&gt;'Tax Tables'!$A$5:$A$17)*(L522-'Tax Tables'!$A$5:$A$17)*'Tax Tables'!$C$5:$C$17)</f>
        <v>31382.5</v>
      </c>
      <c r="N522" s="11" t="n">
        <f aca="false">IF(H522&lt;0,-1E+099,A522-E522-M522+J522+(E522+F522)*Calculator!$B$9)</f>
        <v>356675</v>
      </c>
      <c r="O522" s="2"/>
      <c r="P522" s="11" t="n">
        <f aca="false">509*$B$3</f>
        <v>254500</v>
      </c>
      <c r="Q522" s="11" t="n">
        <f aca="false">MIN(P522,'Tax Tables'!$B$31*'Tax Tables'!$B$32)</f>
        <v>96000</v>
      </c>
      <c r="R522" s="11" t="n">
        <f aca="false">P522-Q522</f>
        <v>158500</v>
      </c>
      <c r="S522" s="11" t="n">
        <f aca="false">IF(Calculator!$B$6="Yes",MIN(Q522,'Tax Tables'!$B$31*'Tax Tables'!$B$32),0)</f>
        <v>96000</v>
      </c>
      <c r="T522" s="11" t="n">
        <f aca="false">S522*Calculator!$B$7</f>
        <v>19200</v>
      </c>
      <c r="U522" s="11" t="n">
        <f aca="false">S522*Calculator!$B$8</f>
        <v>16320</v>
      </c>
      <c r="V522" s="11" t="n">
        <f aca="false">IF(Q522&gt;0,'Tax Tables'!$B$32*MIN(MAX(Q522/'Tax Tables'!$B$32*'Tax Tables'!$B$33,'Tax Tables'!$B$34),'Tax Tables'!$B$35),0)</f>
        <v>135</v>
      </c>
      <c r="W522" s="11" t="n">
        <f aca="false">Calculator!$B$5-P522-U522-V522</f>
        <v>129045</v>
      </c>
      <c r="X522" s="11" t="n">
        <f aca="false">'Tax Tables'!$B$22*(MAX(W522,0)-IF(Calculator!$B$10="Yes",MIN(MAX(W522,0),'Tax Tables'!$B$27)*'Tax Tables'!$B$28+MIN(MAX(MAX(W522,0)-'Tax Tables'!$B$27,0),'Tax Tables'!$B$29)*'Tax Tables'!$B$30,MIN(MAX(W522,0),'Tax Tables'!$B$23)*'Tax Tables'!$B$24+MIN(MAX(MAX(W522,0)-'Tax Tables'!$B$23,0),'Tax Tables'!$B$25)*'Tax Tables'!$B$26))*1-MIN('Tax Tables'!$B$22*(MAX(W522,0)-IF(Calculator!$B$10="Yes",MIN(MAX(W522,0),'Tax Tables'!$B$27)*'Tax Tables'!$B$28+MIN(MAX(MAX(W522,0)-'Tax Tables'!$B$27,0),'Tax Tables'!$B$29)*'Tax Tables'!$B$30,MIN(MAX(W522,0),'Tax Tables'!$B$23)*'Tax Tables'!$B$24+MIN(MAX(MAX(W522,0)-'Tax Tables'!$B$23,0),'Tax Tables'!$B$25)*'Tax Tables'!$B$26))*Calculator!$B$11,Calculator!$B$12)</f>
        <v>10543.825</v>
      </c>
      <c r="Y522" s="11" t="n">
        <f aca="false">MAX(W522,0)-X522</f>
        <v>118501.175</v>
      </c>
      <c r="Z522" s="11" t="n">
        <f aca="false">MIN(IF(P522&gt;0,Calculator!$B$13,0)+T522+Calculator!$B$14,'Tax Tables'!$B$36)</f>
        <v>20200</v>
      </c>
      <c r="AA522" s="11" t="n">
        <f aca="false">MAX(P522-Z522,0)</f>
        <v>234300</v>
      </c>
      <c r="AB522" s="11" t="n">
        <f aca="false">SUMPRODUCT((AA522&gt;'Tax Tables'!$A$5:$A$17)*(AA522-'Tax Tables'!$A$5:$A$17)*'Tax Tables'!$C$5:$C$17)</f>
        <v>27667</v>
      </c>
      <c r="AC522" s="11" t="n">
        <f aca="false">IF(W522&lt;0,-1E+099,P522-T522-AB522+Y522+(T522+U522)*Calculator!$B$9)</f>
        <v>361654.175</v>
      </c>
    </row>
    <row r="523" customFormat="false" ht="15" hidden="false" customHeight="false" outlineLevel="0" collapsed="false">
      <c r="A523" s="11" t="n">
        <f aca="false">510*$B$3</f>
        <v>255000</v>
      </c>
      <c r="B523" s="11" t="n">
        <f aca="false">0</f>
        <v>0</v>
      </c>
      <c r="C523" s="11" t="n">
        <f aca="false">A523-B523</f>
        <v>255000</v>
      </c>
      <c r="D523" s="11" t="n">
        <f aca="false">IF(Calculator!$B$6="Yes",MIN(B523,'Tax Tables'!$B$31*'Tax Tables'!$B$32),0)</f>
        <v>0</v>
      </c>
      <c r="E523" s="11" t="n">
        <f aca="false">D523*Calculator!$B$7</f>
        <v>0</v>
      </c>
      <c r="F523" s="11" t="n">
        <f aca="false">D523*Calculator!$B$8</f>
        <v>0</v>
      </c>
      <c r="G523" s="11" t="n">
        <f aca="false">IF(B523&gt;0,'Tax Tables'!$B$32*MIN(MAX(B523/'Tax Tables'!$B$32*'Tax Tables'!$B$33,'Tax Tables'!$B$34),'Tax Tables'!$B$35),0)</f>
        <v>0</v>
      </c>
      <c r="H523" s="11" t="n">
        <f aca="false">Calculator!$B$5-A523-F523-G523</f>
        <v>145000</v>
      </c>
      <c r="I523" s="11" t="n">
        <f aca="false">'Tax Tables'!$B$22*(MAX(H523,0)-IF(Calculator!$B$10="Yes",MIN(MAX(H523,0),'Tax Tables'!$B$27)*'Tax Tables'!$B$28+MIN(MAX(MAX(H523,0)-'Tax Tables'!$B$27,0),'Tax Tables'!$B$29)*'Tax Tables'!$B$30,MIN(MAX(H523,0),'Tax Tables'!$B$23)*'Tax Tables'!$B$24+MIN(MAX(MAX(H523,0)-'Tax Tables'!$B$23,0),'Tax Tables'!$B$25)*'Tax Tables'!$B$26))*1-MIN('Tax Tables'!$B$22*(MAX(H523,0)-IF(Calculator!$B$10="Yes",MIN(MAX(H523,0),'Tax Tables'!$B$27)*'Tax Tables'!$B$28+MIN(MAX(MAX(H523,0)-'Tax Tables'!$B$27,0),'Tax Tables'!$B$29)*'Tax Tables'!$B$30,MIN(MAX(H523,0),'Tax Tables'!$B$23)*'Tax Tables'!$B$24+MIN(MAX(MAX(H523,0)-'Tax Tables'!$B$23,0),'Tax Tables'!$B$25)*'Tax Tables'!$B$26))*Calculator!$B$11,Calculator!$B$12)</f>
        <v>11900</v>
      </c>
      <c r="J523" s="11" t="n">
        <f aca="false">MAX(H523,0)-I523</f>
        <v>133100</v>
      </c>
      <c r="K523" s="11" t="n">
        <f aca="false">MIN(IF(A523&gt;0,Calculator!$B$13,0)+E523+Calculator!$B$14,'Tax Tables'!$B$36)</f>
        <v>1000</v>
      </c>
      <c r="L523" s="11" t="n">
        <f aca="false">MAX(A523-K523,0)</f>
        <v>254000</v>
      </c>
      <c r="M523" s="11" t="n">
        <f aca="false">SUMPRODUCT((L523&gt;'Tax Tables'!$A$5:$A$17)*(L523-'Tax Tables'!$A$5:$A$17)*'Tax Tables'!$C$5:$C$17)</f>
        <v>31480</v>
      </c>
      <c r="N523" s="11" t="n">
        <f aca="false">IF(H523&lt;0,-1E+099,A523-E523-M523+J523+(E523+F523)*Calculator!$B$9)</f>
        <v>356620</v>
      </c>
      <c r="O523" s="2"/>
      <c r="P523" s="11" t="n">
        <f aca="false">510*$B$3</f>
        <v>255000</v>
      </c>
      <c r="Q523" s="11" t="n">
        <f aca="false">MIN(P523,'Tax Tables'!$B$31*'Tax Tables'!$B$32)</f>
        <v>96000</v>
      </c>
      <c r="R523" s="11" t="n">
        <f aca="false">P523-Q523</f>
        <v>159000</v>
      </c>
      <c r="S523" s="11" t="n">
        <f aca="false">IF(Calculator!$B$6="Yes",MIN(Q523,'Tax Tables'!$B$31*'Tax Tables'!$B$32),0)</f>
        <v>96000</v>
      </c>
      <c r="T523" s="11" t="n">
        <f aca="false">S523*Calculator!$B$7</f>
        <v>19200</v>
      </c>
      <c r="U523" s="11" t="n">
        <f aca="false">S523*Calculator!$B$8</f>
        <v>16320</v>
      </c>
      <c r="V523" s="11" t="n">
        <f aca="false">IF(Q523&gt;0,'Tax Tables'!$B$32*MIN(MAX(Q523/'Tax Tables'!$B$32*'Tax Tables'!$B$33,'Tax Tables'!$B$34),'Tax Tables'!$B$35),0)</f>
        <v>135</v>
      </c>
      <c r="W523" s="11" t="n">
        <f aca="false">Calculator!$B$5-P523-U523-V523</f>
        <v>128545</v>
      </c>
      <c r="X523" s="11" t="n">
        <f aca="false">'Tax Tables'!$B$22*(MAX(W523,0)-IF(Calculator!$B$10="Yes",MIN(MAX(W523,0),'Tax Tables'!$B$27)*'Tax Tables'!$B$28+MIN(MAX(MAX(W523,0)-'Tax Tables'!$B$27,0),'Tax Tables'!$B$29)*'Tax Tables'!$B$30,MIN(MAX(W523,0),'Tax Tables'!$B$23)*'Tax Tables'!$B$24+MIN(MAX(MAX(W523,0)-'Tax Tables'!$B$23,0),'Tax Tables'!$B$25)*'Tax Tables'!$B$26))*1-MIN('Tax Tables'!$B$22*(MAX(W523,0)-IF(Calculator!$B$10="Yes",MIN(MAX(W523,0),'Tax Tables'!$B$27)*'Tax Tables'!$B$28+MIN(MAX(MAX(W523,0)-'Tax Tables'!$B$27,0),'Tax Tables'!$B$29)*'Tax Tables'!$B$30,MIN(MAX(W523,0),'Tax Tables'!$B$23)*'Tax Tables'!$B$24+MIN(MAX(MAX(W523,0)-'Tax Tables'!$B$23,0),'Tax Tables'!$B$25)*'Tax Tables'!$B$26))*Calculator!$B$11,Calculator!$B$12)</f>
        <v>10501.325</v>
      </c>
      <c r="Y523" s="11" t="n">
        <f aca="false">MAX(W523,0)-X523</f>
        <v>118043.675</v>
      </c>
      <c r="Z523" s="11" t="n">
        <f aca="false">MIN(IF(P523&gt;0,Calculator!$B$13,0)+T523+Calculator!$B$14,'Tax Tables'!$B$36)</f>
        <v>20200</v>
      </c>
      <c r="AA523" s="11" t="n">
        <f aca="false">MAX(P523-Z523,0)</f>
        <v>234800</v>
      </c>
      <c r="AB523" s="11" t="n">
        <f aca="false">SUMPRODUCT((AA523&gt;'Tax Tables'!$A$5:$A$17)*(AA523-'Tax Tables'!$A$5:$A$17)*'Tax Tables'!$C$5:$C$17)</f>
        <v>27762</v>
      </c>
      <c r="AC523" s="11" t="n">
        <f aca="false">IF(W523&lt;0,-1E+099,P523-T523-AB523+Y523+(T523+U523)*Calculator!$B$9)</f>
        <v>361601.675</v>
      </c>
    </row>
    <row r="524" customFormat="false" ht="15" hidden="false" customHeight="false" outlineLevel="0" collapsed="false">
      <c r="A524" s="11" t="n">
        <f aca="false">511*$B$3</f>
        <v>255500</v>
      </c>
      <c r="B524" s="11" t="n">
        <f aca="false">0</f>
        <v>0</v>
      </c>
      <c r="C524" s="11" t="n">
        <f aca="false">A524-B524</f>
        <v>255500</v>
      </c>
      <c r="D524" s="11" t="n">
        <f aca="false">IF(Calculator!$B$6="Yes",MIN(B524,'Tax Tables'!$B$31*'Tax Tables'!$B$32),0)</f>
        <v>0</v>
      </c>
      <c r="E524" s="11" t="n">
        <f aca="false">D524*Calculator!$B$7</f>
        <v>0</v>
      </c>
      <c r="F524" s="11" t="n">
        <f aca="false">D524*Calculator!$B$8</f>
        <v>0</v>
      </c>
      <c r="G524" s="11" t="n">
        <f aca="false">IF(B524&gt;0,'Tax Tables'!$B$32*MIN(MAX(B524/'Tax Tables'!$B$32*'Tax Tables'!$B$33,'Tax Tables'!$B$34),'Tax Tables'!$B$35),0)</f>
        <v>0</v>
      </c>
      <c r="H524" s="11" t="n">
        <f aca="false">Calculator!$B$5-A524-F524-G524</f>
        <v>144500</v>
      </c>
      <c r="I524" s="11" t="n">
        <f aca="false">'Tax Tables'!$B$22*(MAX(H524,0)-IF(Calculator!$B$10="Yes",MIN(MAX(H524,0),'Tax Tables'!$B$27)*'Tax Tables'!$B$28+MIN(MAX(MAX(H524,0)-'Tax Tables'!$B$27,0),'Tax Tables'!$B$29)*'Tax Tables'!$B$30,MIN(MAX(H524,0),'Tax Tables'!$B$23)*'Tax Tables'!$B$24+MIN(MAX(MAX(H524,0)-'Tax Tables'!$B$23,0),'Tax Tables'!$B$25)*'Tax Tables'!$B$26))*1-MIN('Tax Tables'!$B$22*(MAX(H524,0)-IF(Calculator!$B$10="Yes",MIN(MAX(H524,0),'Tax Tables'!$B$27)*'Tax Tables'!$B$28+MIN(MAX(MAX(H524,0)-'Tax Tables'!$B$27,0),'Tax Tables'!$B$29)*'Tax Tables'!$B$30,MIN(MAX(H524,0),'Tax Tables'!$B$23)*'Tax Tables'!$B$24+MIN(MAX(MAX(H524,0)-'Tax Tables'!$B$23,0),'Tax Tables'!$B$25)*'Tax Tables'!$B$26))*Calculator!$B$11,Calculator!$B$12)</f>
        <v>11857.5</v>
      </c>
      <c r="J524" s="11" t="n">
        <f aca="false">MAX(H524,0)-I524</f>
        <v>132642.5</v>
      </c>
      <c r="K524" s="11" t="n">
        <f aca="false">MIN(IF(A524&gt;0,Calculator!$B$13,0)+E524+Calculator!$B$14,'Tax Tables'!$B$36)</f>
        <v>1000</v>
      </c>
      <c r="L524" s="11" t="n">
        <f aca="false">MAX(A524-K524,0)</f>
        <v>254500</v>
      </c>
      <c r="M524" s="11" t="n">
        <f aca="false">SUMPRODUCT((L524&gt;'Tax Tables'!$A$5:$A$17)*(L524-'Tax Tables'!$A$5:$A$17)*'Tax Tables'!$C$5:$C$17)</f>
        <v>31577.5</v>
      </c>
      <c r="N524" s="11" t="n">
        <f aca="false">IF(H524&lt;0,-1E+099,A524-E524-M524+J524+(E524+F524)*Calculator!$B$9)</f>
        <v>356565</v>
      </c>
      <c r="O524" s="2"/>
      <c r="P524" s="11" t="n">
        <f aca="false">511*$B$3</f>
        <v>255500</v>
      </c>
      <c r="Q524" s="11" t="n">
        <f aca="false">MIN(P524,'Tax Tables'!$B$31*'Tax Tables'!$B$32)</f>
        <v>96000</v>
      </c>
      <c r="R524" s="11" t="n">
        <f aca="false">P524-Q524</f>
        <v>159500</v>
      </c>
      <c r="S524" s="11" t="n">
        <f aca="false">IF(Calculator!$B$6="Yes",MIN(Q524,'Tax Tables'!$B$31*'Tax Tables'!$B$32),0)</f>
        <v>96000</v>
      </c>
      <c r="T524" s="11" t="n">
        <f aca="false">S524*Calculator!$B$7</f>
        <v>19200</v>
      </c>
      <c r="U524" s="11" t="n">
        <f aca="false">S524*Calculator!$B$8</f>
        <v>16320</v>
      </c>
      <c r="V524" s="11" t="n">
        <f aca="false">IF(Q524&gt;0,'Tax Tables'!$B$32*MIN(MAX(Q524/'Tax Tables'!$B$32*'Tax Tables'!$B$33,'Tax Tables'!$B$34),'Tax Tables'!$B$35),0)</f>
        <v>135</v>
      </c>
      <c r="W524" s="11" t="n">
        <f aca="false">Calculator!$B$5-P524-U524-V524</f>
        <v>128045</v>
      </c>
      <c r="X524" s="11" t="n">
        <f aca="false">'Tax Tables'!$B$22*(MAX(W524,0)-IF(Calculator!$B$10="Yes",MIN(MAX(W524,0),'Tax Tables'!$B$27)*'Tax Tables'!$B$28+MIN(MAX(MAX(W524,0)-'Tax Tables'!$B$27,0),'Tax Tables'!$B$29)*'Tax Tables'!$B$30,MIN(MAX(W524,0),'Tax Tables'!$B$23)*'Tax Tables'!$B$24+MIN(MAX(MAX(W524,0)-'Tax Tables'!$B$23,0),'Tax Tables'!$B$25)*'Tax Tables'!$B$26))*1-MIN('Tax Tables'!$B$22*(MAX(W524,0)-IF(Calculator!$B$10="Yes",MIN(MAX(W524,0),'Tax Tables'!$B$27)*'Tax Tables'!$B$28+MIN(MAX(MAX(W524,0)-'Tax Tables'!$B$27,0),'Tax Tables'!$B$29)*'Tax Tables'!$B$30,MIN(MAX(W524,0),'Tax Tables'!$B$23)*'Tax Tables'!$B$24+MIN(MAX(MAX(W524,0)-'Tax Tables'!$B$23,0),'Tax Tables'!$B$25)*'Tax Tables'!$B$26))*Calculator!$B$11,Calculator!$B$12)</f>
        <v>10458.825</v>
      </c>
      <c r="Y524" s="11" t="n">
        <f aca="false">MAX(W524,0)-X524</f>
        <v>117586.175</v>
      </c>
      <c r="Z524" s="11" t="n">
        <f aca="false">MIN(IF(P524&gt;0,Calculator!$B$13,0)+T524+Calculator!$B$14,'Tax Tables'!$B$36)</f>
        <v>20200</v>
      </c>
      <c r="AA524" s="11" t="n">
        <f aca="false">MAX(P524-Z524,0)</f>
        <v>235300</v>
      </c>
      <c r="AB524" s="11" t="n">
        <f aca="false">SUMPRODUCT((AA524&gt;'Tax Tables'!$A$5:$A$17)*(AA524-'Tax Tables'!$A$5:$A$17)*'Tax Tables'!$C$5:$C$17)</f>
        <v>27857</v>
      </c>
      <c r="AC524" s="11" t="n">
        <f aca="false">IF(W524&lt;0,-1E+099,P524-T524-AB524+Y524+(T524+U524)*Calculator!$B$9)</f>
        <v>361549.175</v>
      </c>
    </row>
    <row r="525" customFormat="false" ht="15" hidden="false" customHeight="false" outlineLevel="0" collapsed="false">
      <c r="A525" s="11" t="n">
        <f aca="false">512*$B$3</f>
        <v>256000</v>
      </c>
      <c r="B525" s="11" t="n">
        <f aca="false">0</f>
        <v>0</v>
      </c>
      <c r="C525" s="11" t="n">
        <f aca="false">A525-B525</f>
        <v>256000</v>
      </c>
      <c r="D525" s="11" t="n">
        <f aca="false">IF(Calculator!$B$6="Yes",MIN(B525,'Tax Tables'!$B$31*'Tax Tables'!$B$32),0)</f>
        <v>0</v>
      </c>
      <c r="E525" s="11" t="n">
        <f aca="false">D525*Calculator!$B$7</f>
        <v>0</v>
      </c>
      <c r="F525" s="11" t="n">
        <f aca="false">D525*Calculator!$B$8</f>
        <v>0</v>
      </c>
      <c r="G525" s="11" t="n">
        <f aca="false">IF(B525&gt;0,'Tax Tables'!$B$32*MIN(MAX(B525/'Tax Tables'!$B$32*'Tax Tables'!$B$33,'Tax Tables'!$B$34),'Tax Tables'!$B$35),0)</f>
        <v>0</v>
      </c>
      <c r="H525" s="11" t="n">
        <f aca="false">Calculator!$B$5-A525-F525-G525</f>
        <v>144000</v>
      </c>
      <c r="I525" s="11" t="n">
        <f aca="false">'Tax Tables'!$B$22*(MAX(H525,0)-IF(Calculator!$B$10="Yes",MIN(MAX(H525,0),'Tax Tables'!$B$27)*'Tax Tables'!$B$28+MIN(MAX(MAX(H525,0)-'Tax Tables'!$B$27,0),'Tax Tables'!$B$29)*'Tax Tables'!$B$30,MIN(MAX(H525,0),'Tax Tables'!$B$23)*'Tax Tables'!$B$24+MIN(MAX(MAX(H525,0)-'Tax Tables'!$B$23,0),'Tax Tables'!$B$25)*'Tax Tables'!$B$26))*1-MIN('Tax Tables'!$B$22*(MAX(H525,0)-IF(Calculator!$B$10="Yes",MIN(MAX(H525,0),'Tax Tables'!$B$27)*'Tax Tables'!$B$28+MIN(MAX(MAX(H525,0)-'Tax Tables'!$B$27,0),'Tax Tables'!$B$29)*'Tax Tables'!$B$30,MIN(MAX(H525,0),'Tax Tables'!$B$23)*'Tax Tables'!$B$24+MIN(MAX(MAX(H525,0)-'Tax Tables'!$B$23,0),'Tax Tables'!$B$25)*'Tax Tables'!$B$26))*Calculator!$B$11,Calculator!$B$12)</f>
        <v>11815</v>
      </c>
      <c r="J525" s="11" t="n">
        <f aca="false">MAX(H525,0)-I525</f>
        <v>132185</v>
      </c>
      <c r="K525" s="11" t="n">
        <f aca="false">MIN(IF(A525&gt;0,Calculator!$B$13,0)+E525+Calculator!$B$14,'Tax Tables'!$B$36)</f>
        <v>1000</v>
      </c>
      <c r="L525" s="11" t="n">
        <f aca="false">MAX(A525-K525,0)</f>
        <v>255000</v>
      </c>
      <c r="M525" s="11" t="n">
        <f aca="false">SUMPRODUCT((L525&gt;'Tax Tables'!$A$5:$A$17)*(L525-'Tax Tables'!$A$5:$A$17)*'Tax Tables'!$C$5:$C$17)</f>
        <v>31675</v>
      </c>
      <c r="N525" s="11" t="n">
        <f aca="false">IF(H525&lt;0,-1E+099,A525-E525-M525+J525+(E525+F525)*Calculator!$B$9)</f>
        <v>356510</v>
      </c>
      <c r="O525" s="2"/>
      <c r="P525" s="11" t="n">
        <f aca="false">512*$B$3</f>
        <v>256000</v>
      </c>
      <c r="Q525" s="11" t="n">
        <f aca="false">MIN(P525,'Tax Tables'!$B$31*'Tax Tables'!$B$32)</f>
        <v>96000</v>
      </c>
      <c r="R525" s="11" t="n">
        <f aca="false">P525-Q525</f>
        <v>160000</v>
      </c>
      <c r="S525" s="11" t="n">
        <f aca="false">IF(Calculator!$B$6="Yes",MIN(Q525,'Tax Tables'!$B$31*'Tax Tables'!$B$32),0)</f>
        <v>96000</v>
      </c>
      <c r="T525" s="11" t="n">
        <f aca="false">S525*Calculator!$B$7</f>
        <v>19200</v>
      </c>
      <c r="U525" s="11" t="n">
        <f aca="false">S525*Calculator!$B$8</f>
        <v>16320</v>
      </c>
      <c r="V525" s="11" t="n">
        <f aca="false">IF(Q525&gt;0,'Tax Tables'!$B$32*MIN(MAX(Q525/'Tax Tables'!$B$32*'Tax Tables'!$B$33,'Tax Tables'!$B$34),'Tax Tables'!$B$35),0)</f>
        <v>135</v>
      </c>
      <c r="W525" s="11" t="n">
        <f aca="false">Calculator!$B$5-P525-U525-V525</f>
        <v>127545</v>
      </c>
      <c r="X525" s="11" t="n">
        <f aca="false">'Tax Tables'!$B$22*(MAX(W525,0)-IF(Calculator!$B$10="Yes",MIN(MAX(W525,0),'Tax Tables'!$B$27)*'Tax Tables'!$B$28+MIN(MAX(MAX(W525,0)-'Tax Tables'!$B$27,0),'Tax Tables'!$B$29)*'Tax Tables'!$B$30,MIN(MAX(W525,0),'Tax Tables'!$B$23)*'Tax Tables'!$B$24+MIN(MAX(MAX(W525,0)-'Tax Tables'!$B$23,0),'Tax Tables'!$B$25)*'Tax Tables'!$B$26))*1-MIN('Tax Tables'!$B$22*(MAX(W525,0)-IF(Calculator!$B$10="Yes",MIN(MAX(W525,0),'Tax Tables'!$B$27)*'Tax Tables'!$B$28+MIN(MAX(MAX(W525,0)-'Tax Tables'!$B$27,0),'Tax Tables'!$B$29)*'Tax Tables'!$B$30,MIN(MAX(W525,0),'Tax Tables'!$B$23)*'Tax Tables'!$B$24+MIN(MAX(MAX(W525,0)-'Tax Tables'!$B$23,0),'Tax Tables'!$B$25)*'Tax Tables'!$B$26))*Calculator!$B$11,Calculator!$B$12)</f>
        <v>10416.325</v>
      </c>
      <c r="Y525" s="11" t="n">
        <f aca="false">MAX(W525,0)-X525</f>
        <v>117128.675</v>
      </c>
      <c r="Z525" s="11" t="n">
        <f aca="false">MIN(IF(P525&gt;0,Calculator!$B$13,0)+T525+Calculator!$B$14,'Tax Tables'!$B$36)</f>
        <v>20200</v>
      </c>
      <c r="AA525" s="11" t="n">
        <f aca="false">MAX(P525-Z525,0)</f>
        <v>235800</v>
      </c>
      <c r="AB525" s="11" t="n">
        <f aca="false">SUMPRODUCT((AA525&gt;'Tax Tables'!$A$5:$A$17)*(AA525-'Tax Tables'!$A$5:$A$17)*'Tax Tables'!$C$5:$C$17)</f>
        <v>27952</v>
      </c>
      <c r="AC525" s="11" t="n">
        <f aca="false">IF(W525&lt;0,-1E+099,P525-T525-AB525+Y525+(T525+U525)*Calculator!$B$9)</f>
        <v>361496.675</v>
      </c>
    </row>
    <row r="526" customFormat="false" ht="15" hidden="false" customHeight="false" outlineLevel="0" collapsed="false">
      <c r="A526" s="11" t="n">
        <f aca="false">513*$B$3</f>
        <v>256500</v>
      </c>
      <c r="B526" s="11" t="n">
        <f aca="false">0</f>
        <v>0</v>
      </c>
      <c r="C526" s="11" t="n">
        <f aca="false">A526-B526</f>
        <v>256500</v>
      </c>
      <c r="D526" s="11" t="n">
        <f aca="false">IF(Calculator!$B$6="Yes",MIN(B526,'Tax Tables'!$B$31*'Tax Tables'!$B$32),0)</f>
        <v>0</v>
      </c>
      <c r="E526" s="11" t="n">
        <f aca="false">D526*Calculator!$B$7</f>
        <v>0</v>
      </c>
      <c r="F526" s="11" t="n">
        <f aca="false">D526*Calculator!$B$8</f>
        <v>0</v>
      </c>
      <c r="G526" s="11" t="n">
        <f aca="false">IF(B526&gt;0,'Tax Tables'!$B$32*MIN(MAX(B526/'Tax Tables'!$B$32*'Tax Tables'!$B$33,'Tax Tables'!$B$34),'Tax Tables'!$B$35),0)</f>
        <v>0</v>
      </c>
      <c r="H526" s="11" t="n">
        <f aca="false">Calculator!$B$5-A526-F526-G526</f>
        <v>143500</v>
      </c>
      <c r="I526" s="11" t="n">
        <f aca="false">'Tax Tables'!$B$22*(MAX(H526,0)-IF(Calculator!$B$10="Yes",MIN(MAX(H526,0),'Tax Tables'!$B$27)*'Tax Tables'!$B$28+MIN(MAX(MAX(H526,0)-'Tax Tables'!$B$27,0),'Tax Tables'!$B$29)*'Tax Tables'!$B$30,MIN(MAX(H526,0),'Tax Tables'!$B$23)*'Tax Tables'!$B$24+MIN(MAX(MAX(H526,0)-'Tax Tables'!$B$23,0),'Tax Tables'!$B$25)*'Tax Tables'!$B$26))*1-MIN('Tax Tables'!$B$22*(MAX(H526,0)-IF(Calculator!$B$10="Yes",MIN(MAX(H526,0),'Tax Tables'!$B$27)*'Tax Tables'!$B$28+MIN(MAX(MAX(H526,0)-'Tax Tables'!$B$27,0),'Tax Tables'!$B$29)*'Tax Tables'!$B$30,MIN(MAX(H526,0),'Tax Tables'!$B$23)*'Tax Tables'!$B$24+MIN(MAX(MAX(H526,0)-'Tax Tables'!$B$23,0),'Tax Tables'!$B$25)*'Tax Tables'!$B$26))*Calculator!$B$11,Calculator!$B$12)</f>
        <v>11772.5</v>
      </c>
      <c r="J526" s="11" t="n">
        <f aca="false">MAX(H526,0)-I526</f>
        <v>131727.5</v>
      </c>
      <c r="K526" s="11" t="n">
        <f aca="false">MIN(IF(A526&gt;0,Calculator!$B$13,0)+E526+Calculator!$B$14,'Tax Tables'!$B$36)</f>
        <v>1000</v>
      </c>
      <c r="L526" s="11" t="n">
        <f aca="false">MAX(A526-K526,0)</f>
        <v>255500</v>
      </c>
      <c r="M526" s="11" t="n">
        <f aca="false">SUMPRODUCT((L526&gt;'Tax Tables'!$A$5:$A$17)*(L526-'Tax Tables'!$A$5:$A$17)*'Tax Tables'!$C$5:$C$17)</f>
        <v>31772.5</v>
      </c>
      <c r="N526" s="11" t="n">
        <f aca="false">IF(H526&lt;0,-1E+099,A526-E526-M526+J526+(E526+F526)*Calculator!$B$9)</f>
        <v>356455</v>
      </c>
      <c r="O526" s="2"/>
      <c r="P526" s="11" t="n">
        <f aca="false">513*$B$3</f>
        <v>256500</v>
      </c>
      <c r="Q526" s="11" t="n">
        <f aca="false">MIN(P526,'Tax Tables'!$B$31*'Tax Tables'!$B$32)</f>
        <v>96000</v>
      </c>
      <c r="R526" s="11" t="n">
        <f aca="false">P526-Q526</f>
        <v>160500</v>
      </c>
      <c r="S526" s="11" t="n">
        <f aca="false">IF(Calculator!$B$6="Yes",MIN(Q526,'Tax Tables'!$B$31*'Tax Tables'!$B$32),0)</f>
        <v>96000</v>
      </c>
      <c r="T526" s="11" t="n">
        <f aca="false">S526*Calculator!$B$7</f>
        <v>19200</v>
      </c>
      <c r="U526" s="11" t="n">
        <f aca="false">S526*Calculator!$B$8</f>
        <v>16320</v>
      </c>
      <c r="V526" s="11" t="n">
        <f aca="false">IF(Q526&gt;0,'Tax Tables'!$B$32*MIN(MAX(Q526/'Tax Tables'!$B$32*'Tax Tables'!$B$33,'Tax Tables'!$B$34),'Tax Tables'!$B$35),0)</f>
        <v>135</v>
      </c>
      <c r="W526" s="11" t="n">
        <f aca="false">Calculator!$B$5-P526-U526-V526</f>
        <v>127045</v>
      </c>
      <c r="X526" s="11" t="n">
        <f aca="false">'Tax Tables'!$B$22*(MAX(W526,0)-IF(Calculator!$B$10="Yes",MIN(MAX(W526,0),'Tax Tables'!$B$27)*'Tax Tables'!$B$28+MIN(MAX(MAX(W526,0)-'Tax Tables'!$B$27,0),'Tax Tables'!$B$29)*'Tax Tables'!$B$30,MIN(MAX(W526,0),'Tax Tables'!$B$23)*'Tax Tables'!$B$24+MIN(MAX(MAX(W526,0)-'Tax Tables'!$B$23,0),'Tax Tables'!$B$25)*'Tax Tables'!$B$26))*1-MIN('Tax Tables'!$B$22*(MAX(W526,0)-IF(Calculator!$B$10="Yes",MIN(MAX(W526,0),'Tax Tables'!$B$27)*'Tax Tables'!$B$28+MIN(MAX(MAX(W526,0)-'Tax Tables'!$B$27,0),'Tax Tables'!$B$29)*'Tax Tables'!$B$30,MIN(MAX(W526,0),'Tax Tables'!$B$23)*'Tax Tables'!$B$24+MIN(MAX(MAX(W526,0)-'Tax Tables'!$B$23,0),'Tax Tables'!$B$25)*'Tax Tables'!$B$26))*Calculator!$B$11,Calculator!$B$12)</f>
        <v>10373.825</v>
      </c>
      <c r="Y526" s="11" t="n">
        <f aca="false">MAX(W526,0)-X526</f>
        <v>116671.175</v>
      </c>
      <c r="Z526" s="11" t="n">
        <f aca="false">MIN(IF(P526&gt;0,Calculator!$B$13,0)+T526+Calculator!$B$14,'Tax Tables'!$B$36)</f>
        <v>20200</v>
      </c>
      <c r="AA526" s="11" t="n">
        <f aca="false">MAX(P526-Z526,0)</f>
        <v>236300</v>
      </c>
      <c r="AB526" s="11" t="n">
        <f aca="false">SUMPRODUCT((AA526&gt;'Tax Tables'!$A$5:$A$17)*(AA526-'Tax Tables'!$A$5:$A$17)*'Tax Tables'!$C$5:$C$17)</f>
        <v>28047</v>
      </c>
      <c r="AC526" s="11" t="n">
        <f aca="false">IF(W526&lt;0,-1E+099,P526-T526-AB526+Y526+(T526+U526)*Calculator!$B$9)</f>
        <v>361444.175</v>
      </c>
    </row>
    <row r="527" customFormat="false" ht="15" hidden="false" customHeight="false" outlineLevel="0" collapsed="false">
      <c r="A527" s="11" t="n">
        <f aca="false">514*$B$3</f>
        <v>257000</v>
      </c>
      <c r="B527" s="11" t="n">
        <f aca="false">0</f>
        <v>0</v>
      </c>
      <c r="C527" s="11" t="n">
        <f aca="false">A527-B527</f>
        <v>257000</v>
      </c>
      <c r="D527" s="11" t="n">
        <f aca="false">IF(Calculator!$B$6="Yes",MIN(B527,'Tax Tables'!$B$31*'Tax Tables'!$B$32),0)</f>
        <v>0</v>
      </c>
      <c r="E527" s="11" t="n">
        <f aca="false">D527*Calculator!$B$7</f>
        <v>0</v>
      </c>
      <c r="F527" s="11" t="n">
        <f aca="false">D527*Calculator!$B$8</f>
        <v>0</v>
      </c>
      <c r="G527" s="11" t="n">
        <f aca="false">IF(B527&gt;0,'Tax Tables'!$B$32*MIN(MAX(B527/'Tax Tables'!$B$32*'Tax Tables'!$B$33,'Tax Tables'!$B$34),'Tax Tables'!$B$35),0)</f>
        <v>0</v>
      </c>
      <c r="H527" s="11" t="n">
        <f aca="false">Calculator!$B$5-A527-F527-G527</f>
        <v>143000</v>
      </c>
      <c r="I527" s="11" t="n">
        <f aca="false">'Tax Tables'!$B$22*(MAX(H527,0)-IF(Calculator!$B$10="Yes",MIN(MAX(H527,0),'Tax Tables'!$B$27)*'Tax Tables'!$B$28+MIN(MAX(MAX(H527,0)-'Tax Tables'!$B$27,0),'Tax Tables'!$B$29)*'Tax Tables'!$B$30,MIN(MAX(H527,0),'Tax Tables'!$B$23)*'Tax Tables'!$B$24+MIN(MAX(MAX(H527,0)-'Tax Tables'!$B$23,0),'Tax Tables'!$B$25)*'Tax Tables'!$B$26))*1-MIN('Tax Tables'!$B$22*(MAX(H527,0)-IF(Calculator!$B$10="Yes",MIN(MAX(H527,0),'Tax Tables'!$B$27)*'Tax Tables'!$B$28+MIN(MAX(MAX(H527,0)-'Tax Tables'!$B$27,0),'Tax Tables'!$B$29)*'Tax Tables'!$B$30,MIN(MAX(H527,0),'Tax Tables'!$B$23)*'Tax Tables'!$B$24+MIN(MAX(MAX(H527,0)-'Tax Tables'!$B$23,0),'Tax Tables'!$B$25)*'Tax Tables'!$B$26))*Calculator!$B$11,Calculator!$B$12)</f>
        <v>11730</v>
      </c>
      <c r="J527" s="11" t="n">
        <f aca="false">MAX(H527,0)-I527</f>
        <v>131270</v>
      </c>
      <c r="K527" s="11" t="n">
        <f aca="false">MIN(IF(A527&gt;0,Calculator!$B$13,0)+E527+Calculator!$B$14,'Tax Tables'!$B$36)</f>
        <v>1000</v>
      </c>
      <c r="L527" s="11" t="n">
        <f aca="false">MAX(A527-K527,0)</f>
        <v>256000</v>
      </c>
      <c r="M527" s="11" t="n">
        <f aca="false">SUMPRODUCT((L527&gt;'Tax Tables'!$A$5:$A$17)*(L527-'Tax Tables'!$A$5:$A$17)*'Tax Tables'!$C$5:$C$17)</f>
        <v>31870</v>
      </c>
      <c r="N527" s="11" t="n">
        <f aca="false">IF(H527&lt;0,-1E+099,A527-E527-M527+J527+(E527+F527)*Calculator!$B$9)</f>
        <v>356400</v>
      </c>
      <c r="O527" s="2"/>
      <c r="P527" s="11" t="n">
        <f aca="false">514*$B$3</f>
        <v>257000</v>
      </c>
      <c r="Q527" s="11" t="n">
        <f aca="false">MIN(P527,'Tax Tables'!$B$31*'Tax Tables'!$B$32)</f>
        <v>96000</v>
      </c>
      <c r="R527" s="11" t="n">
        <f aca="false">P527-Q527</f>
        <v>161000</v>
      </c>
      <c r="S527" s="11" t="n">
        <f aca="false">IF(Calculator!$B$6="Yes",MIN(Q527,'Tax Tables'!$B$31*'Tax Tables'!$B$32),0)</f>
        <v>96000</v>
      </c>
      <c r="T527" s="11" t="n">
        <f aca="false">S527*Calculator!$B$7</f>
        <v>19200</v>
      </c>
      <c r="U527" s="11" t="n">
        <f aca="false">S527*Calculator!$B$8</f>
        <v>16320</v>
      </c>
      <c r="V527" s="11" t="n">
        <f aca="false">IF(Q527&gt;0,'Tax Tables'!$B$32*MIN(MAX(Q527/'Tax Tables'!$B$32*'Tax Tables'!$B$33,'Tax Tables'!$B$34),'Tax Tables'!$B$35),0)</f>
        <v>135</v>
      </c>
      <c r="W527" s="11" t="n">
        <f aca="false">Calculator!$B$5-P527-U527-V527</f>
        <v>126545</v>
      </c>
      <c r="X527" s="11" t="n">
        <f aca="false">'Tax Tables'!$B$22*(MAX(W527,0)-IF(Calculator!$B$10="Yes",MIN(MAX(W527,0),'Tax Tables'!$B$27)*'Tax Tables'!$B$28+MIN(MAX(MAX(W527,0)-'Tax Tables'!$B$27,0),'Tax Tables'!$B$29)*'Tax Tables'!$B$30,MIN(MAX(W527,0),'Tax Tables'!$B$23)*'Tax Tables'!$B$24+MIN(MAX(MAX(W527,0)-'Tax Tables'!$B$23,0),'Tax Tables'!$B$25)*'Tax Tables'!$B$26))*1-MIN('Tax Tables'!$B$22*(MAX(W527,0)-IF(Calculator!$B$10="Yes",MIN(MAX(W527,0),'Tax Tables'!$B$27)*'Tax Tables'!$B$28+MIN(MAX(MAX(W527,0)-'Tax Tables'!$B$27,0),'Tax Tables'!$B$29)*'Tax Tables'!$B$30,MIN(MAX(W527,0),'Tax Tables'!$B$23)*'Tax Tables'!$B$24+MIN(MAX(MAX(W527,0)-'Tax Tables'!$B$23,0),'Tax Tables'!$B$25)*'Tax Tables'!$B$26))*Calculator!$B$11,Calculator!$B$12)</f>
        <v>10331.325</v>
      </c>
      <c r="Y527" s="11" t="n">
        <f aca="false">MAX(W527,0)-X527</f>
        <v>116213.675</v>
      </c>
      <c r="Z527" s="11" t="n">
        <f aca="false">MIN(IF(P527&gt;0,Calculator!$B$13,0)+T527+Calculator!$B$14,'Tax Tables'!$B$36)</f>
        <v>20200</v>
      </c>
      <c r="AA527" s="11" t="n">
        <f aca="false">MAX(P527-Z527,0)</f>
        <v>236800</v>
      </c>
      <c r="AB527" s="11" t="n">
        <f aca="false">SUMPRODUCT((AA527&gt;'Tax Tables'!$A$5:$A$17)*(AA527-'Tax Tables'!$A$5:$A$17)*'Tax Tables'!$C$5:$C$17)</f>
        <v>28142</v>
      </c>
      <c r="AC527" s="11" t="n">
        <f aca="false">IF(W527&lt;0,-1E+099,P527-T527-AB527+Y527+(T527+U527)*Calculator!$B$9)</f>
        <v>361391.675</v>
      </c>
    </row>
    <row r="528" customFormat="false" ht="15" hidden="false" customHeight="false" outlineLevel="0" collapsed="false">
      <c r="A528" s="11" t="n">
        <f aca="false">515*$B$3</f>
        <v>257500</v>
      </c>
      <c r="B528" s="11" t="n">
        <f aca="false">0</f>
        <v>0</v>
      </c>
      <c r="C528" s="11" t="n">
        <f aca="false">A528-B528</f>
        <v>257500</v>
      </c>
      <c r="D528" s="11" t="n">
        <f aca="false">IF(Calculator!$B$6="Yes",MIN(B528,'Tax Tables'!$B$31*'Tax Tables'!$B$32),0)</f>
        <v>0</v>
      </c>
      <c r="E528" s="11" t="n">
        <f aca="false">D528*Calculator!$B$7</f>
        <v>0</v>
      </c>
      <c r="F528" s="11" t="n">
        <f aca="false">D528*Calculator!$B$8</f>
        <v>0</v>
      </c>
      <c r="G528" s="11" t="n">
        <f aca="false">IF(B528&gt;0,'Tax Tables'!$B$32*MIN(MAX(B528/'Tax Tables'!$B$32*'Tax Tables'!$B$33,'Tax Tables'!$B$34),'Tax Tables'!$B$35),0)</f>
        <v>0</v>
      </c>
      <c r="H528" s="11" t="n">
        <f aca="false">Calculator!$B$5-A528-F528-G528</f>
        <v>142500</v>
      </c>
      <c r="I528" s="11" t="n">
        <f aca="false">'Tax Tables'!$B$22*(MAX(H528,0)-IF(Calculator!$B$10="Yes",MIN(MAX(H528,0),'Tax Tables'!$B$27)*'Tax Tables'!$B$28+MIN(MAX(MAX(H528,0)-'Tax Tables'!$B$27,0),'Tax Tables'!$B$29)*'Tax Tables'!$B$30,MIN(MAX(H528,0),'Tax Tables'!$B$23)*'Tax Tables'!$B$24+MIN(MAX(MAX(H528,0)-'Tax Tables'!$B$23,0),'Tax Tables'!$B$25)*'Tax Tables'!$B$26))*1-MIN('Tax Tables'!$B$22*(MAX(H528,0)-IF(Calculator!$B$10="Yes",MIN(MAX(H528,0),'Tax Tables'!$B$27)*'Tax Tables'!$B$28+MIN(MAX(MAX(H528,0)-'Tax Tables'!$B$27,0),'Tax Tables'!$B$29)*'Tax Tables'!$B$30,MIN(MAX(H528,0),'Tax Tables'!$B$23)*'Tax Tables'!$B$24+MIN(MAX(MAX(H528,0)-'Tax Tables'!$B$23,0),'Tax Tables'!$B$25)*'Tax Tables'!$B$26))*Calculator!$B$11,Calculator!$B$12)</f>
        <v>11687.5</v>
      </c>
      <c r="J528" s="11" t="n">
        <f aca="false">MAX(H528,0)-I528</f>
        <v>130812.5</v>
      </c>
      <c r="K528" s="11" t="n">
        <f aca="false">MIN(IF(A528&gt;0,Calculator!$B$13,0)+E528+Calculator!$B$14,'Tax Tables'!$B$36)</f>
        <v>1000</v>
      </c>
      <c r="L528" s="11" t="n">
        <f aca="false">MAX(A528-K528,0)</f>
        <v>256500</v>
      </c>
      <c r="M528" s="11" t="n">
        <f aca="false">SUMPRODUCT((L528&gt;'Tax Tables'!$A$5:$A$17)*(L528-'Tax Tables'!$A$5:$A$17)*'Tax Tables'!$C$5:$C$17)</f>
        <v>31967.5</v>
      </c>
      <c r="N528" s="11" t="n">
        <f aca="false">IF(H528&lt;0,-1E+099,A528-E528-M528+J528+(E528+F528)*Calculator!$B$9)</f>
        <v>356345</v>
      </c>
      <c r="O528" s="2"/>
      <c r="P528" s="11" t="n">
        <f aca="false">515*$B$3</f>
        <v>257500</v>
      </c>
      <c r="Q528" s="11" t="n">
        <f aca="false">MIN(P528,'Tax Tables'!$B$31*'Tax Tables'!$B$32)</f>
        <v>96000</v>
      </c>
      <c r="R528" s="11" t="n">
        <f aca="false">P528-Q528</f>
        <v>161500</v>
      </c>
      <c r="S528" s="11" t="n">
        <f aca="false">IF(Calculator!$B$6="Yes",MIN(Q528,'Tax Tables'!$B$31*'Tax Tables'!$B$32),0)</f>
        <v>96000</v>
      </c>
      <c r="T528" s="11" t="n">
        <f aca="false">S528*Calculator!$B$7</f>
        <v>19200</v>
      </c>
      <c r="U528" s="11" t="n">
        <f aca="false">S528*Calculator!$B$8</f>
        <v>16320</v>
      </c>
      <c r="V528" s="11" t="n">
        <f aca="false">IF(Q528&gt;0,'Tax Tables'!$B$32*MIN(MAX(Q528/'Tax Tables'!$B$32*'Tax Tables'!$B$33,'Tax Tables'!$B$34),'Tax Tables'!$B$35),0)</f>
        <v>135</v>
      </c>
      <c r="W528" s="11" t="n">
        <f aca="false">Calculator!$B$5-P528-U528-V528</f>
        <v>126045</v>
      </c>
      <c r="X528" s="11" t="n">
        <f aca="false">'Tax Tables'!$B$22*(MAX(W528,0)-IF(Calculator!$B$10="Yes",MIN(MAX(W528,0),'Tax Tables'!$B$27)*'Tax Tables'!$B$28+MIN(MAX(MAX(W528,0)-'Tax Tables'!$B$27,0),'Tax Tables'!$B$29)*'Tax Tables'!$B$30,MIN(MAX(W528,0),'Tax Tables'!$B$23)*'Tax Tables'!$B$24+MIN(MAX(MAX(W528,0)-'Tax Tables'!$B$23,0),'Tax Tables'!$B$25)*'Tax Tables'!$B$26))*1-MIN('Tax Tables'!$B$22*(MAX(W528,0)-IF(Calculator!$B$10="Yes",MIN(MAX(W528,0),'Tax Tables'!$B$27)*'Tax Tables'!$B$28+MIN(MAX(MAX(W528,0)-'Tax Tables'!$B$27,0),'Tax Tables'!$B$29)*'Tax Tables'!$B$30,MIN(MAX(W528,0),'Tax Tables'!$B$23)*'Tax Tables'!$B$24+MIN(MAX(MAX(W528,0)-'Tax Tables'!$B$23,0),'Tax Tables'!$B$25)*'Tax Tables'!$B$26))*Calculator!$B$11,Calculator!$B$12)</f>
        <v>10288.825</v>
      </c>
      <c r="Y528" s="11" t="n">
        <f aca="false">MAX(W528,0)-X528</f>
        <v>115756.175</v>
      </c>
      <c r="Z528" s="11" t="n">
        <f aca="false">MIN(IF(P528&gt;0,Calculator!$B$13,0)+T528+Calculator!$B$14,'Tax Tables'!$B$36)</f>
        <v>20200</v>
      </c>
      <c r="AA528" s="11" t="n">
        <f aca="false">MAX(P528-Z528,0)</f>
        <v>237300</v>
      </c>
      <c r="AB528" s="11" t="n">
        <f aca="false">SUMPRODUCT((AA528&gt;'Tax Tables'!$A$5:$A$17)*(AA528-'Tax Tables'!$A$5:$A$17)*'Tax Tables'!$C$5:$C$17)</f>
        <v>28237</v>
      </c>
      <c r="AC528" s="11" t="n">
        <f aca="false">IF(W528&lt;0,-1E+099,P528-T528-AB528+Y528+(T528+U528)*Calculator!$B$9)</f>
        <v>361339.175</v>
      </c>
    </row>
    <row r="529" customFormat="false" ht="15" hidden="false" customHeight="false" outlineLevel="0" collapsed="false">
      <c r="A529" s="11" t="n">
        <f aca="false">516*$B$3</f>
        <v>258000</v>
      </c>
      <c r="B529" s="11" t="n">
        <f aca="false">0</f>
        <v>0</v>
      </c>
      <c r="C529" s="11" t="n">
        <f aca="false">A529-B529</f>
        <v>258000</v>
      </c>
      <c r="D529" s="11" t="n">
        <f aca="false">IF(Calculator!$B$6="Yes",MIN(B529,'Tax Tables'!$B$31*'Tax Tables'!$B$32),0)</f>
        <v>0</v>
      </c>
      <c r="E529" s="11" t="n">
        <f aca="false">D529*Calculator!$B$7</f>
        <v>0</v>
      </c>
      <c r="F529" s="11" t="n">
        <f aca="false">D529*Calculator!$B$8</f>
        <v>0</v>
      </c>
      <c r="G529" s="11" t="n">
        <f aca="false">IF(B529&gt;0,'Tax Tables'!$B$32*MIN(MAX(B529/'Tax Tables'!$B$32*'Tax Tables'!$B$33,'Tax Tables'!$B$34),'Tax Tables'!$B$35),0)</f>
        <v>0</v>
      </c>
      <c r="H529" s="11" t="n">
        <f aca="false">Calculator!$B$5-A529-F529-G529</f>
        <v>142000</v>
      </c>
      <c r="I529" s="11" t="n">
        <f aca="false">'Tax Tables'!$B$22*(MAX(H529,0)-IF(Calculator!$B$10="Yes",MIN(MAX(H529,0),'Tax Tables'!$B$27)*'Tax Tables'!$B$28+MIN(MAX(MAX(H529,0)-'Tax Tables'!$B$27,0),'Tax Tables'!$B$29)*'Tax Tables'!$B$30,MIN(MAX(H529,0),'Tax Tables'!$B$23)*'Tax Tables'!$B$24+MIN(MAX(MAX(H529,0)-'Tax Tables'!$B$23,0),'Tax Tables'!$B$25)*'Tax Tables'!$B$26))*1-MIN('Tax Tables'!$B$22*(MAX(H529,0)-IF(Calculator!$B$10="Yes",MIN(MAX(H529,0),'Tax Tables'!$B$27)*'Tax Tables'!$B$28+MIN(MAX(MAX(H529,0)-'Tax Tables'!$B$27,0),'Tax Tables'!$B$29)*'Tax Tables'!$B$30,MIN(MAX(H529,0),'Tax Tables'!$B$23)*'Tax Tables'!$B$24+MIN(MAX(MAX(H529,0)-'Tax Tables'!$B$23,0),'Tax Tables'!$B$25)*'Tax Tables'!$B$26))*Calculator!$B$11,Calculator!$B$12)</f>
        <v>11645</v>
      </c>
      <c r="J529" s="11" t="n">
        <f aca="false">MAX(H529,0)-I529</f>
        <v>130355</v>
      </c>
      <c r="K529" s="11" t="n">
        <f aca="false">MIN(IF(A529&gt;0,Calculator!$B$13,0)+E529+Calculator!$B$14,'Tax Tables'!$B$36)</f>
        <v>1000</v>
      </c>
      <c r="L529" s="11" t="n">
        <f aca="false">MAX(A529-K529,0)</f>
        <v>257000</v>
      </c>
      <c r="M529" s="11" t="n">
        <f aca="false">SUMPRODUCT((L529&gt;'Tax Tables'!$A$5:$A$17)*(L529-'Tax Tables'!$A$5:$A$17)*'Tax Tables'!$C$5:$C$17)</f>
        <v>32065</v>
      </c>
      <c r="N529" s="11" t="n">
        <f aca="false">IF(H529&lt;0,-1E+099,A529-E529-M529+J529+(E529+F529)*Calculator!$B$9)</f>
        <v>356290</v>
      </c>
      <c r="O529" s="2"/>
      <c r="P529" s="11" t="n">
        <f aca="false">516*$B$3</f>
        <v>258000</v>
      </c>
      <c r="Q529" s="11" t="n">
        <f aca="false">MIN(P529,'Tax Tables'!$B$31*'Tax Tables'!$B$32)</f>
        <v>96000</v>
      </c>
      <c r="R529" s="11" t="n">
        <f aca="false">P529-Q529</f>
        <v>162000</v>
      </c>
      <c r="S529" s="11" t="n">
        <f aca="false">IF(Calculator!$B$6="Yes",MIN(Q529,'Tax Tables'!$B$31*'Tax Tables'!$B$32),0)</f>
        <v>96000</v>
      </c>
      <c r="T529" s="11" t="n">
        <f aca="false">S529*Calculator!$B$7</f>
        <v>19200</v>
      </c>
      <c r="U529" s="11" t="n">
        <f aca="false">S529*Calculator!$B$8</f>
        <v>16320</v>
      </c>
      <c r="V529" s="11" t="n">
        <f aca="false">IF(Q529&gt;0,'Tax Tables'!$B$32*MIN(MAX(Q529/'Tax Tables'!$B$32*'Tax Tables'!$B$33,'Tax Tables'!$B$34),'Tax Tables'!$B$35),0)</f>
        <v>135</v>
      </c>
      <c r="W529" s="11" t="n">
        <f aca="false">Calculator!$B$5-P529-U529-V529</f>
        <v>125545</v>
      </c>
      <c r="X529" s="11" t="n">
        <f aca="false">'Tax Tables'!$B$22*(MAX(W529,0)-IF(Calculator!$B$10="Yes",MIN(MAX(W529,0),'Tax Tables'!$B$27)*'Tax Tables'!$B$28+MIN(MAX(MAX(W529,0)-'Tax Tables'!$B$27,0),'Tax Tables'!$B$29)*'Tax Tables'!$B$30,MIN(MAX(W529,0),'Tax Tables'!$B$23)*'Tax Tables'!$B$24+MIN(MAX(MAX(W529,0)-'Tax Tables'!$B$23,0),'Tax Tables'!$B$25)*'Tax Tables'!$B$26))*1-MIN('Tax Tables'!$B$22*(MAX(W529,0)-IF(Calculator!$B$10="Yes",MIN(MAX(W529,0),'Tax Tables'!$B$27)*'Tax Tables'!$B$28+MIN(MAX(MAX(W529,0)-'Tax Tables'!$B$27,0),'Tax Tables'!$B$29)*'Tax Tables'!$B$30,MIN(MAX(W529,0),'Tax Tables'!$B$23)*'Tax Tables'!$B$24+MIN(MAX(MAX(W529,0)-'Tax Tables'!$B$23,0),'Tax Tables'!$B$25)*'Tax Tables'!$B$26))*Calculator!$B$11,Calculator!$B$12)</f>
        <v>10246.325</v>
      </c>
      <c r="Y529" s="11" t="n">
        <f aca="false">MAX(W529,0)-X529</f>
        <v>115298.675</v>
      </c>
      <c r="Z529" s="11" t="n">
        <f aca="false">MIN(IF(P529&gt;0,Calculator!$B$13,0)+T529+Calculator!$B$14,'Tax Tables'!$B$36)</f>
        <v>20200</v>
      </c>
      <c r="AA529" s="11" t="n">
        <f aca="false">MAX(P529-Z529,0)</f>
        <v>237800</v>
      </c>
      <c r="AB529" s="11" t="n">
        <f aca="false">SUMPRODUCT((AA529&gt;'Tax Tables'!$A$5:$A$17)*(AA529-'Tax Tables'!$A$5:$A$17)*'Tax Tables'!$C$5:$C$17)</f>
        <v>28332</v>
      </c>
      <c r="AC529" s="11" t="n">
        <f aca="false">IF(W529&lt;0,-1E+099,P529-T529-AB529+Y529+(T529+U529)*Calculator!$B$9)</f>
        <v>361286.675</v>
      </c>
    </row>
    <row r="530" customFormat="false" ht="15" hidden="false" customHeight="false" outlineLevel="0" collapsed="false">
      <c r="A530" s="11" t="n">
        <f aca="false">517*$B$3</f>
        <v>258500</v>
      </c>
      <c r="B530" s="11" t="n">
        <f aca="false">0</f>
        <v>0</v>
      </c>
      <c r="C530" s="11" t="n">
        <f aca="false">A530-B530</f>
        <v>258500</v>
      </c>
      <c r="D530" s="11" t="n">
        <f aca="false">IF(Calculator!$B$6="Yes",MIN(B530,'Tax Tables'!$B$31*'Tax Tables'!$B$32),0)</f>
        <v>0</v>
      </c>
      <c r="E530" s="11" t="n">
        <f aca="false">D530*Calculator!$B$7</f>
        <v>0</v>
      </c>
      <c r="F530" s="11" t="n">
        <f aca="false">D530*Calculator!$B$8</f>
        <v>0</v>
      </c>
      <c r="G530" s="11" t="n">
        <f aca="false">IF(B530&gt;0,'Tax Tables'!$B$32*MIN(MAX(B530/'Tax Tables'!$B$32*'Tax Tables'!$B$33,'Tax Tables'!$B$34),'Tax Tables'!$B$35),0)</f>
        <v>0</v>
      </c>
      <c r="H530" s="11" t="n">
        <f aca="false">Calculator!$B$5-A530-F530-G530</f>
        <v>141500</v>
      </c>
      <c r="I530" s="11" t="n">
        <f aca="false">'Tax Tables'!$B$22*(MAX(H530,0)-IF(Calculator!$B$10="Yes",MIN(MAX(H530,0),'Tax Tables'!$B$27)*'Tax Tables'!$B$28+MIN(MAX(MAX(H530,0)-'Tax Tables'!$B$27,0),'Tax Tables'!$B$29)*'Tax Tables'!$B$30,MIN(MAX(H530,0),'Tax Tables'!$B$23)*'Tax Tables'!$B$24+MIN(MAX(MAX(H530,0)-'Tax Tables'!$B$23,0),'Tax Tables'!$B$25)*'Tax Tables'!$B$26))*1-MIN('Tax Tables'!$B$22*(MAX(H530,0)-IF(Calculator!$B$10="Yes",MIN(MAX(H530,0),'Tax Tables'!$B$27)*'Tax Tables'!$B$28+MIN(MAX(MAX(H530,0)-'Tax Tables'!$B$27,0),'Tax Tables'!$B$29)*'Tax Tables'!$B$30,MIN(MAX(H530,0),'Tax Tables'!$B$23)*'Tax Tables'!$B$24+MIN(MAX(MAX(H530,0)-'Tax Tables'!$B$23,0),'Tax Tables'!$B$25)*'Tax Tables'!$B$26))*Calculator!$B$11,Calculator!$B$12)</f>
        <v>11602.5</v>
      </c>
      <c r="J530" s="11" t="n">
        <f aca="false">MAX(H530,0)-I530</f>
        <v>129897.5</v>
      </c>
      <c r="K530" s="11" t="n">
        <f aca="false">MIN(IF(A530&gt;0,Calculator!$B$13,0)+E530+Calculator!$B$14,'Tax Tables'!$B$36)</f>
        <v>1000</v>
      </c>
      <c r="L530" s="11" t="n">
        <f aca="false">MAX(A530-K530,0)</f>
        <v>257500</v>
      </c>
      <c r="M530" s="11" t="n">
        <f aca="false">SUMPRODUCT((L530&gt;'Tax Tables'!$A$5:$A$17)*(L530-'Tax Tables'!$A$5:$A$17)*'Tax Tables'!$C$5:$C$17)</f>
        <v>32162.5</v>
      </c>
      <c r="N530" s="11" t="n">
        <f aca="false">IF(H530&lt;0,-1E+099,A530-E530-M530+J530+(E530+F530)*Calculator!$B$9)</f>
        <v>356235</v>
      </c>
      <c r="O530" s="2"/>
      <c r="P530" s="11" t="n">
        <f aca="false">517*$B$3</f>
        <v>258500</v>
      </c>
      <c r="Q530" s="11" t="n">
        <f aca="false">MIN(P530,'Tax Tables'!$B$31*'Tax Tables'!$B$32)</f>
        <v>96000</v>
      </c>
      <c r="R530" s="11" t="n">
        <f aca="false">P530-Q530</f>
        <v>162500</v>
      </c>
      <c r="S530" s="11" t="n">
        <f aca="false">IF(Calculator!$B$6="Yes",MIN(Q530,'Tax Tables'!$B$31*'Tax Tables'!$B$32),0)</f>
        <v>96000</v>
      </c>
      <c r="T530" s="11" t="n">
        <f aca="false">S530*Calculator!$B$7</f>
        <v>19200</v>
      </c>
      <c r="U530" s="11" t="n">
        <f aca="false">S530*Calculator!$B$8</f>
        <v>16320</v>
      </c>
      <c r="V530" s="11" t="n">
        <f aca="false">IF(Q530&gt;0,'Tax Tables'!$B$32*MIN(MAX(Q530/'Tax Tables'!$B$32*'Tax Tables'!$B$33,'Tax Tables'!$B$34),'Tax Tables'!$B$35),0)</f>
        <v>135</v>
      </c>
      <c r="W530" s="11" t="n">
        <f aca="false">Calculator!$B$5-P530-U530-V530</f>
        <v>125045</v>
      </c>
      <c r="X530" s="11" t="n">
        <f aca="false">'Tax Tables'!$B$22*(MAX(W530,0)-IF(Calculator!$B$10="Yes",MIN(MAX(W530,0),'Tax Tables'!$B$27)*'Tax Tables'!$B$28+MIN(MAX(MAX(W530,0)-'Tax Tables'!$B$27,0),'Tax Tables'!$B$29)*'Tax Tables'!$B$30,MIN(MAX(W530,0),'Tax Tables'!$B$23)*'Tax Tables'!$B$24+MIN(MAX(MAX(W530,0)-'Tax Tables'!$B$23,0),'Tax Tables'!$B$25)*'Tax Tables'!$B$26))*1-MIN('Tax Tables'!$B$22*(MAX(W530,0)-IF(Calculator!$B$10="Yes",MIN(MAX(W530,0),'Tax Tables'!$B$27)*'Tax Tables'!$B$28+MIN(MAX(MAX(W530,0)-'Tax Tables'!$B$27,0),'Tax Tables'!$B$29)*'Tax Tables'!$B$30,MIN(MAX(W530,0),'Tax Tables'!$B$23)*'Tax Tables'!$B$24+MIN(MAX(MAX(W530,0)-'Tax Tables'!$B$23,0),'Tax Tables'!$B$25)*'Tax Tables'!$B$26))*Calculator!$B$11,Calculator!$B$12)</f>
        <v>10203.825</v>
      </c>
      <c r="Y530" s="11" t="n">
        <f aca="false">MAX(W530,0)-X530</f>
        <v>114841.175</v>
      </c>
      <c r="Z530" s="11" t="n">
        <f aca="false">MIN(IF(P530&gt;0,Calculator!$B$13,0)+T530+Calculator!$B$14,'Tax Tables'!$B$36)</f>
        <v>20200</v>
      </c>
      <c r="AA530" s="11" t="n">
        <f aca="false">MAX(P530-Z530,0)</f>
        <v>238300</v>
      </c>
      <c r="AB530" s="11" t="n">
        <f aca="false">SUMPRODUCT((AA530&gt;'Tax Tables'!$A$5:$A$17)*(AA530-'Tax Tables'!$A$5:$A$17)*'Tax Tables'!$C$5:$C$17)</f>
        <v>28427</v>
      </c>
      <c r="AC530" s="11" t="n">
        <f aca="false">IF(W530&lt;0,-1E+099,P530-T530-AB530+Y530+(T530+U530)*Calculator!$B$9)</f>
        <v>361234.175</v>
      </c>
    </row>
    <row r="531" customFormat="false" ht="15" hidden="false" customHeight="false" outlineLevel="0" collapsed="false">
      <c r="A531" s="11" t="n">
        <f aca="false">518*$B$3</f>
        <v>259000</v>
      </c>
      <c r="B531" s="11" t="n">
        <f aca="false">0</f>
        <v>0</v>
      </c>
      <c r="C531" s="11" t="n">
        <f aca="false">A531-B531</f>
        <v>259000</v>
      </c>
      <c r="D531" s="11" t="n">
        <f aca="false">IF(Calculator!$B$6="Yes",MIN(B531,'Tax Tables'!$B$31*'Tax Tables'!$B$32),0)</f>
        <v>0</v>
      </c>
      <c r="E531" s="11" t="n">
        <f aca="false">D531*Calculator!$B$7</f>
        <v>0</v>
      </c>
      <c r="F531" s="11" t="n">
        <f aca="false">D531*Calculator!$B$8</f>
        <v>0</v>
      </c>
      <c r="G531" s="11" t="n">
        <f aca="false">IF(B531&gt;0,'Tax Tables'!$B$32*MIN(MAX(B531/'Tax Tables'!$B$32*'Tax Tables'!$B$33,'Tax Tables'!$B$34),'Tax Tables'!$B$35),0)</f>
        <v>0</v>
      </c>
      <c r="H531" s="11" t="n">
        <f aca="false">Calculator!$B$5-A531-F531-G531</f>
        <v>141000</v>
      </c>
      <c r="I531" s="11" t="n">
        <f aca="false">'Tax Tables'!$B$22*(MAX(H531,0)-IF(Calculator!$B$10="Yes",MIN(MAX(H531,0),'Tax Tables'!$B$27)*'Tax Tables'!$B$28+MIN(MAX(MAX(H531,0)-'Tax Tables'!$B$27,0),'Tax Tables'!$B$29)*'Tax Tables'!$B$30,MIN(MAX(H531,0),'Tax Tables'!$B$23)*'Tax Tables'!$B$24+MIN(MAX(MAX(H531,0)-'Tax Tables'!$B$23,0),'Tax Tables'!$B$25)*'Tax Tables'!$B$26))*1-MIN('Tax Tables'!$B$22*(MAX(H531,0)-IF(Calculator!$B$10="Yes",MIN(MAX(H531,0),'Tax Tables'!$B$27)*'Tax Tables'!$B$28+MIN(MAX(MAX(H531,0)-'Tax Tables'!$B$27,0),'Tax Tables'!$B$29)*'Tax Tables'!$B$30,MIN(MAX(H531,0),'Tax Tables'!$B$23)*'Tax Tables'!$B$24+MIN(MAX(MAX(H531,0)-'Tax Tables'!$B$23,0),'Tax Tables'!$B$25)*'Tax Tables'!$B$26))*Calculator!$B$11,Calculator!$B$12)</f>
        <v>11560</v>
      </c>
      <c r="J531" s="11" t="n">
        <f aca="false">MAX(H531,0)-I531</f>
        <v>129440</v>
      </c>
      <c r="K531" s="11" t="n">
        <f aca="false">MIN(IF(A531&gt;0,Calculator!$B$13,0)+E531+Calculator!$B$14,'Tax Tables'!$B$36)</f>
        <v>1000</v>
      </c>
      <c r="L531" s="11" t="n">
        <f aca="false">MAX(A531-K531,0)</f>
        <v>258000</v>
      </c>
      <c r="M531" s="11" t="n">
        <f aca="false">SUMPRODUCT((L531&gt;'Tax Tables'!$A$5:$A$17)*(L531-'Tax Tables'!$A$5:$A$17)*'Tax Tables'!$C$5:$C$17)</f>
        <v>32260</v>
      </c>
      <c r="N531" s="11" t="n">
        <f aca="false">IF(H531&lt;0,-1E+099,A531-E531-M531+J531+(E531+F531)*Calculator!$B$9)</f>
        <v>356180</v>
      </c>
      <c r="O531" s="2"/>
      <c r="P531" s="11" t="n">
        <f aca="false">518*$B$3</f>
        <v>259000</v>
      </c>
      <c r="Q531" s="11" t="n">
        <f aca="false">MIN(P531,'Tax Tables'!$B$31*'Tax Tables'!$B$32)</f>
        <v>96000</v>
      </c>
      <c r="R531" s="11" t="n">
        <f aca="false">P531-Q531</f>
        <v>163000</v>
      </c>
      <c r="S531" s="11" t="n">
        <f aca="false">IF(Calculator!$B$6="Yes",MIN(Q531,'Tax Tables'!$B$31*'Tax Tables'!$B$32),0)</f>
        <v>96000</v>
      </c>
      <c r="T531" s="11" t="n">
        <f aca="false">S531*Calculator!$B$7</f>
        <v>19200</v>
      </c>
      <c r="U531" s="11" t="n">
        <f aca="false">S531*Calculator!$B$8</f>
        <v>16320</v>
      </c>
      <c r="V531" s="11" t="n">
        <f aca="false">IF(Q531&gt;0,'Tax Tables'!$B$32*MIN(MAX(Q531/'Tax Tables'!$B$32*'Tax Tables'!$B$33,'Tax Tables'!$B$34),'Tax Tables'!$B$35),0)</f>
        <v>135</v>
      </c>
      <c r="W531" s="11" t="n">
        <f aca="false">Calculator!$B$5-P531-U531-V531</f>
        <v>124545</v>
      </c>
      <c r="X531" s="11" t="n">
        <f aca="false">'Tax Tables'!$B$22*(MAX(W531,0)-IF(Calculator!$B$10="Yes",MIN(MAX(W531,0),'Tax Tables'!$B$27)*'Tax Tables'!$B$28+MIN(MAX(MAX(W531,0)-'Tax Tables'!$B$27,0),'Tax Tables'!$B$29)*'Tax Tables'!$B$30,MIN(MAX(W531,0),'Tax Tables'!$B$23)*'Tax Tables'!$B$24+MIN(MAX(MAX(W531,0)-'Tax Tables'!$B$23,0),'Tax Tables'!$B$25)*'Tax Tables'!$B$26))*1-MIN('Tax Tables'!$B$22*(MAX(W531,0)-IF(Calculator!$B$10="Yes",MIN(MAX(W531,0),'Tax Tables'!$B$27)*'Tax Tables'!$B$28+MIN(MAX(MAX(W531,0)-'Tax Tables'!$B$27,0),'Tax Tables'!$B$29)*'Tax Tables'!$B$30,MIN(MAX(W531,0),'Tax Tables'!$B$23)*'Tax Tables'!$B$24+MIN(MAX(MAX(W531,0)-'Tax Tables'!$B$23,0),'Tax Tables'!$B$25)*'Tax Tables'!$B$26))*Calculator!$B$11,Calculator!$B$12)</f>
        <v>10161.325</v>
      </c>
      <c r="Y531" s="11" t="n">
        <f aca="false">MAX(W531,0)-X531</f>
        <v>114383.675</v>
      </c>
      <c r="Z531" s="11" t="n">
        <f aca="false">MIN(IF(P531&gt;0,Calculator!$B$13,0)+T531+Calculator!$B$14,'Tax Tables'!$B$36)</f>
        <v>20200</v>
      </c>
      <c r="AA531" s="11" t="n">
        <f aca="false">MAX(P531-Z531,0)</f>
        <v>238800</v>
      </c>
      <c r="AB531" s="11" t="n">
        <f aca="false">SUMPRODUCT((AA531&gt;'Tax Tables'!$A$5:$A$17)*(AA531-'Tax Tables'!$A$5:$A$17)*'Tax Tables'!$C$5:$C$17)</f>
        <v>28522</v>
      </c>
      <c r="AC531" s="11" t="n">
        <f aca="false">IF(W531&lt;0,-1E+099,P531-T531-AB531+Y531+(T531+U531)*Calculator!$B$9)</f>
        <v>361181.675</v>
      </c>
    </row>
    <row r="532" customFormat="false" ht="15" hidden="false" customHeight="false" outlineLevel="0" collapsed="false">
      <c r="A532" s="11" t="n">
        <f aca="false">519*$B$3</f>
        <v>259500</v>
      </c>
      <c r="B532" s="11" t="n">
        <f aca="false">0</f>
        <v>0</v>
      </c>
      <c r="C532" s="11" t="n">
        <f aca="false">A532-B532</f>
        <v>259500</v>
      </c>
      <c r="D532" s="11" t="n">
        <f aca="false">IF(Calculator!$B$6="Yes",MIN(B532,'Tax Tables'!$B$31*'Tax Tables'!$B$32),0)</f>
        <v>0</v>
      </c>
      <c r="E532" s="11" t="n">
        <f aca="false">D532*Calculator!$B$7</f>
        <v>0</v>
      </c>
      <c r="F532" s="11" t="n">
        <f aca="false">D532*Calculator!$B$8</f>
        <v>0</v>
      </c>
      <c r="G532" s="11" t="n">
        <f aca="false">IF(B532&gt;0,'Tax Tables'!$B$32*MIN(MAX(B532/'Tax Tables'!$B$32*'Tax Tables'!$B$33,'Tax Tables'!$B$34),'Tax Tables'!$B$35),0)</f>
        <v>0</v>
      </c>
      <c r="H532" s="11" t="n">
        <f aca="false">Calculator!$B$5-A532-F532-G532</f>
        <v>140500</v>
      </c>
      <c r="I532" s="11" t="n">
        <f aca="false">'Tax Tables'!$B$22*(MAX(H532,0)-IF(Calculator!$B$10="Yes",MIN(MAX(H532,0),'Tax Tables'!$B$27)*'Tax Tables'!$B$28+MIN(MAX(MAX(H532,0)-'Tax Tables'!$B$27,0),'Tax Tables'!$B$29)*'Tax Tables'!$B$30,MIN(MAX(H532,0),'Tax Tables'!$B$23)*'Tax Tables'!$B$24+MIN(MAX(MAX(H532,0)-'Tax Tables'!$B$23,0),'Tax Tables'!$B$25)*'Tax Tables'!$B$26))*1-MIN('Tax Tables'!$B$22*(MAX(H532,0)-IF(Calculator!$B$10="Yes",MIN(MAX(H532,0),'Tax Tables'!$B$27)*'Tax Tables'!$B$28+MIN(MAX(MAX(H532,0)-'Tax Tables'!$B$27,0),'Tax Tables'!$B$29)*'Tax Tables'!$B$30,MIN(MAX(H532,0),'Tax Tables'!$B$23)*'Tax Tables'!$B$24+MIN(MAX(MAX(H532,0)-'Tax Tables'!$B$23,0),'Tax Tables'!$B$25)*'Tax Tables'!$B$26))*Calculator!$B$11,Calculator!$B$12)</f>
        <v>11517.5</v>
      </c>
      <c r="J532" s="11" t="n">
        <f aca="false">MAX(H532,0)-I532</f>
        <v>128982.5</v>
      </c>
      <c r="K532" s="11" t="n">
        <f aca="false">MIN(IF(A532&gt;0,Calculator!$B$13,0)+E532+Calculator!$B$14,'Tax Tables'!$B$36)</f>
        <v>1000</v>
      </c>
      <c r="L532" s="11" t="n">
        <f aca="false">MAX(A532-K532,0)</f>
        <v>258500</v>
      </c>
      <c r="M532" s="11" t="n">
        <f aca="false">SUMPRODUCT((L532&gt;'Tax Tables'!$A$5:$A$17)*(L532-'Tax Tables'!$A$5:$A$17)*'Tax Tables'!$C$5:$C$17)</f>
        <v>32357.5</v>
      </c>
      <c r="N532" s="11" t="n">
        <f aca="false">IF(H532&lt;0,-1E+099,A532-E532-M532+J532+(E532+F532)*Calculator!$B$9)</f>
        <v>356125</v>
      </c>
      <c r="O532" s="2"/>
      <c r="P532" s="11" t="n">
        <f aca="false">519*$B$3</f>
        <v>259500</v>
      </c>
      <c r="Q532" s="11" t="n">
        <f aca="false">MIN(P532,'Tax Tables'!$B$31*'Tax Tables'!$B$32)</f>
        <v>96000</v>
      </c>
      <c r="R532" s="11" t="n">
        <f aca="false">P532-Q532</f>
        <v>163500</v>
      </c>
      <c r="S532" s="11" t="n">
        <f aca="false">IF(Calculator!$B$6="Yes",MIN(Q532,'Tax Tables'!$B$31*'Tax Tables'!$B$32),0)</f>
        <v>96000</v>
      </c>
      <c r="T532" s="11" t="n">
        <f aca="false">S532*Calculator!$B$7</f>
        <v>19200</v>
      </c>
      <c r="U532" s="11" t="n">
        <f aca="false">S532*Calculator!$B$8</f>
        <v>16320</v>
      </c>
      <c r="V532" s="11" t="n">
        <f aca="false">IF(Q532&gt;0,'Tax Tables'!$B$32*MIN(MAX(Q532/'Tax Tables'!$B$32*'Tax Tables'!$B$33,'Tax Tables'!$B$34),'Tax Tables'!$B$35),0)</f>
        <v>135</v>
      </c>
      <c r="W532" s="11" t="n">
        <f aca="false">Calculator!$B$5-P532-U532-V532</f>
        <v>124045</v>
      </c>
      <c r="X532" s="11" t="n">
        <f aca="false">'Tax Tables'!$B$22*(MAX(W532,0)-IF(Calculator!$B$10="Yes",MIN(MAX(W532,0),'Tax Tables'!$B$27)*'Tax Tables'!$B$28+MIN(MAX(MAX(W532,0)-'Tax Tables'!$B$27,0),'Tax Tables'!$B$29)*'Tax Tables'!$B$30,MIN(MAX(W532,0),'Tax Tables'!$B$23)*'Tax Tables'!$B$24+MIN(MAX(MAX(W532,0)-'Tax Tables'!$B$23,0),'Tax Tables'!$B$25)*'Tax Tables'!$B$26))*1-MIN('Tax Tables'!$B$22*(MAX(W532,0)-IF(Calculator!$B$10="Yes",MIN(MAX(W532,0),'Tax Tables'!$B$27)*'Tax Tables'!$B$28+MIN(MAX(MAX(W532,0)-'Tax Tables'!$B$27,0),'Tax Tables'!$B$29)*'Tax Tables'!$B$30,MIN(MAX(W532,0),'Tax Tables'!$B$23)*'Tax Tables'!$B$24+MIN(MAX(MAX(W532,0)-'Tax Tables'!$B$23,0),'Tax Tables'!$B$25)*'Tax Tables'!$B$26))*Calculator!$B$11,Calculator!$B$12)</f>
        <v>10118.825</v>
      </c>
      <c r="Y532" s="11" t="n">
        <f aca="false">MAX(W532,0)-X532</f>
        <v>113926.175</v>
      </c>
      <c r="Z532" s="11" t="n">
        <f aca="false">MIN(IF(P532&gt;0,Calculator!$B$13,0)+T532+Calculator!$B$14,'Tax Tables'!$B$36)</f>
        <v>20200</v>
      </c>
      <c r="AA532" s="11" t="n">
        <f aca="false">MAX(P532-Z532,0)</f>
        <v>239300</v>
      </c>
      <c r="AB532" s="11" t="n">
        <f aca="false">SUMPRODUCT((AA532&gt;'Tax Tables'!$A$5:$A$17)*(AA532-'Tax Tables'!$A$5:$A$17)*'Tax Tables'!$C$5:$C$17)</f>
        <v>28617</v>
      </c>
      <c r="AC532" s="11" t="n">
        <f aca="false">IF(W532&lt;0,-1E+099,P532-T532-AB532+Y532+(T532+U532)*Calculator!$B$9)</f>
        <v>361129.175</v>
      </c>
    </row>
    <row r="533" customFormat="false" ht="15" hidden="false" customHeight="false" outlineLevel="0" collapsed="false">
      <c r="A533" s="11" t="n">
        <f aca="false">520*$B$3</f>
        <v>260000</v>
      </c>
      <c r="B533" s="11" t="n">
        <f aca="false">0</f>
        <v>0</v>
      </c>
      <c r="C533" s="11" t="n">
        <f aca="false">A533-B533</f>
        <v>260000</v>
      </c>
      <c r="D533" s="11" t="n">
        <f aca="false">IF(Calculator!$B$6="Yes",MIN(B533,'Tax Tables'!$B$31*'Tax Tables'!$B$32),0)</f>
        <v>0</v>
      </c>
      <c r="E533" s="11" t="n">
        <f aca="false">D533*Calculator!$B$7</f>
        <v>0</v>
      </c>
      <c r="F533" s="11" t="n">
        <f aca="false">D533*Calculator!$B$8</f>
        <v>0</v>
      </c>
      <c r="G533" s="11" t="n">
        <f aca="false">IF(B533&gt;0,'Tax Tables'!$B$32*MIN(MAX(B533/'Tax Tables'!$B$32*'Tax Tables'!$B$33,'Tax Tables'!$B$34),'Tax Tables'!$B$35),0)</f>
        <v>0</v>
      </c>
      <c r="H533" s="11" t="n">
        <f aca="false">Calculator!$B$5-A533-F533-G533</f>
        <v>140000</v>
      </c>
      <c r="I533" s="11" t="n">
        <f aca="false">'Tax Tables'!$B$22*(MAX(H533,0)-IF(Calculator!$B$10="Yes",MIN(MAX(H533,0),'Tax Tables'!$B$27)*'Tax Tables'!$B$28+MIN(MAX(MAX(H533,0)-'Tax Tables'!$B$27,0),'Tax Tables'!$B$29)*'Tax Tables'!$B$30,MIN(MAX(H533,0),'Tax Tables'!$B$23)*'Tax Tables'!$B$24+MIN(MAX(MAX(H533,0)-'Tax Tables'!$B$23,0),'Tax Tables'!$B$25)*'Tax Tables'!$B$26))*1-MIN('Tax Tables'!$B$22*(MAX(H533,0)-IF(Calculator!$B$10="Yes",MIN(MAX(H533,0),'Tax Tables'!$B$27)*'Tax Tables'!$B$28+MIN(MAX(MAX(H533,0)-'Tax Tables'!$B$27,0),'Tax Tables'!$B$29)*'Tax Tables'!$B$30,MIN(MAX(H533,0),'Tax Tables'!$B$23)*'Tax Tables'!$B$24+MIN(MAX(MAX(H533,0)-'Tax Tables'!$B$23,0),'Tax Tables'!$B$25)*'Tax Tables'!$B$26))*Calculator!$B$11,Calculator!$B$12)</f>
        <v>11475</v>
      </c>
      <c r="J533" s="11" t="n">
        <f aca="false">MAX(H533,0)-I533</f>
        <v>128525</v>
      </c>
      <c r="K533" s="11" t="n">
        <f aca="false">MIN(IF(A533&gt;0,Calculator!$B$13,0)+E533+Calculator!$B$14,'Tax Tables'!$B$36)</f>
        <v>1000</v>
      </c>
      <c r="L533" s="11" t="n">
        <f aca="false">MAX(A533-K533,0)</f>
        <v>259000</v>
      </c>
      <c r="M533" s="11" t="n">
        <f aca="false">SUMPRODUCT((L533&gt;'Tax Tables'!$A$5:$A$17)*(L533-'Tax Tables'!$A$5:$A$17)*'Tax Tables'!$C$5:$C$17)</f>
        <v>32455</v>
      </c>
      <c r="N533" s="11" t="n">
        <f aca="false">IF(H533&lt;0,-1E+099,A533-E533-M533+J533+(E533+F533)*Calculator!$B$9)</f>
        <v>356070</v>
      </c>
      <c r="O533" s="2"/>
      <c r="P533" s="11" t="n">
        <f aca="false">520*$B$3</f>
        <v>260000</v>
      </c>
      <c r="Q533" s="11" t="n">
        <f aca="false">MIN(P533,'Tax Tables'!$B$31*'Tax Tables'!$B$32)</f>
        <v>96000</v>
      </c>
      <c r="R533" s="11" t="n">
        <f aca="false">P533-Q533</f>
        <v>164000</v>
      </c>
      <c r="S533" s="11" t="n">
        <f aca="false">IF(Calculator!$B$6="Yes",MIN(Q533,'Tax Tables'!$B$31*'Tax Tables'!$B$32),0)</f>
        <v>96000</v>
      </c>
      <c r="T533" s="11" t="n">
        <f aca="false">S533*Calculator!$B$7</f>
        <v>19200</v>
      </c>
      <c r="U533" s="11" t="n">
        <f aca="false">S533*Calculator!$B$8</f>
        <v>16320</v>
      </c>
      <c r="V533" s="11" t="n">
        <f aca="false">IF(Q533&gt;0,'Tax Tables'!$B$32*MIN(MAX(Q533/'Tax Tables'!$B$32*'Tax Tables'!$B$33,'Tax Tables'!$B$34),'Tax Tables'!$B$35),0)</f>
        <v>135</v>
      </c>
      <c r="W533" s="11" t="n">
        <f aca="false">Calculator!$B$5-P533-U533-V533</f>
        <v>123545</v>
      </c>
      <c r="X533" s="11" t="n">
        <f aca="false">'Tax Tables'!$B$22*(MAX(W533,0)-IF(Calculator!$B$10="Yes",MIN(MAX(W533,0),'Tax Tables'!$B$27)*'Tax Tables'!$B$28+MIN(MAX(MAX(W533,0)-'Tax Tables'!$B$27,0),'Tax Tables'!$B$29)*'Tax Tables'!$B$30,MIN(MAX(W533,0),'Tax Tables'!$B$23)*'Tax Tables'!$B$24+MIN(MAX(MAX(W533,0)-'Tax Tables'!$B$23,0),'Tax Tables'!$B$25)*'Tax Tables'!$B$26))*1-MIN('Tax Tables'!$B$22*(MAX(W533,0)-IF(Calculator!$B$10="Yes",MIN(MAX(W533,0),'Tax Tables'!$B$27)*'Tax Tables'!$B$28+MIN(MAX(MAX(W533,0)-'Tax Tables'!$B$27,0),'Tax Tables'!$B$29)*'Tax Tables'!$B$30,MIN(MAX(W533,0),'Tax Tables'!$B$23)*'Tax Tables'!$B$24+MIN(MAX(MAX(W533,0)-'Tax Tables'!$B$23,0),'Tax Tables'!$B$25)*'Tax Tables'!$B$26))*Calculator!$B$11,Calculator!$B$12)</f>
        <v>10076.325</v>
      </c>
      <c r="Y533" s="11" t="n">
        <f aca="false">MAX(W533,0)-X533</f>
        <v>113468.675</v>
      </c>
      <c r="Z533" s="11" t="n">
        <f aca="false">MIN(IF(P533&gt;0,Calculator!$B$13,0)+T533+Calculator!$B$14,'Tax Tables'!$B$36)</f>
        <v>20200</v>
      </c>
      <c r="AA533" s="11" t="n">
        <f aca="false">MAX(P533-Z533,0)</f>
        <v>239800</v>
      </c>
      <c r="AB533" s="11" t="n">
        <f aca="false">SUMPRODUCT((AA533&gt;'Tax Tables'!$A$5:$A$17)*(AA533-'Tax Tables'!$A$5:$A$17)*'Tax Tables'!$C$5:$C$17)</f>
        <v>28712</v>
      </c>
      <c r="AC533" s="11" t="n">
        <f aca="false">IF(W533&lt;0,-1E+099,P533-T533-AB533+Y533+(T533+U533)*Calculator!$B$9)</f>
        <v>361076.675</v>
      </c>
    </row>
    <row r="534" customFormat="false" ht="15" hidden="false" customHeight="false" outlineLevel="0" collapsed="false">
      <c r="A534" s="11" t="n">
        <f aca="false">521*$B$3</f>
        <v>260500</v>
      </c>
      <c r="B534" s="11" t="n">
        <f aca="false">0</f>
        <v>0</v>
      </c>
      <c r="C534" s="11" t="n">
        <f aca="false">A534-B534</f>
        <v>260500</v>
      </c>
      <c r="D534" s="11" t="n">
        <f aca="false">IF(Calculator!$B$6="Yes",MIN(B534,'Tax Tables'!$B$31*'Tax Tables'!$B$32),0)</f>
        <v>0</v>
      </c>
      <c r="E534" s="11" t="n">
        <f aca="false">D534*Calculator!$B$7</f>
        <v>0</v>
      </c>
      <c r="F534" s="11" t="n">
        <f aca="false">D534*Calculator!$B$8</f>
        <v>0</v>
      </c>
      <c r="G534" s="11" t="n">
        <f aca="false">IF(B534&gt;0,'Tax Tables'!$B$32*MIN(MAX(B534/'Tax Tables'!$B$32*'Tax Tables'!$B$33,'Tax Tables'!$B$34),'Tax Tables'!$B$35),0)</f>
        <v>0</v>
      </c>
      <c r="H534" s="11" t="n">
        <f aca="false">Calculator!$B$5-A534-F534-G534</f>
        <v>139500</v>
      </c>
      <c r="I534" s="11" t="n">
        <f aca="false">'Tax Tables'!$B$22*(MAX(H534,0)-IF(Calculator!$B$10="Yes",MIN(MAX(H534,0),'Tax Tables'!$B$27)*'Tax Tables'!$B$28+MIN(MAX(MAX(H534,0)-'Tax Tables'!$B$27,0),'Tax Tables'!$B$29)*'Tax Tables'!$B$30,MIN(MAX(H534,0),'Tax Tables'!$B$23)*'Tax Tables'!$B$24+MIN(MAX(MAX(H534,0)-'Tax Tables'!$B$23,0),'Tax Tables'!$B$25)*'Tax Tables'!$B$26))*1-MIN('Tax Tables'!$B$22*(MAX(H534,0)-IF(Calculator!$B$10="Yes",MIN(MAX(H534,0),'Tax Tables'!$B$27)*'Tax Tables'!$B$28+MIN(MAX(MAX(H534,0)-'Tax Tables'!$B$27,0),'Tax Tables'!$B$29)*'Tax Tables'!$B$30,MIN(MAX(H534,0),'Tax Tables'!$B$23)*'Tax Tables'!$B$24+MIN(MAX(MAX(H534,0)-'Tax Tables'!$B$23,0),'Tax Tables'!$B$25)*'Tax Tables'!$B$26))*Calculator!$B$11,Calculator!$B$12)</f>
        <v>11432.5</v>
      </c>
      <c r="J534" s="11" t="n">
        <f aca="false">MAX(H534,0)-I534</f>
        <v>128067.5</v>
      </c>
      <c r="K534" s="11" t="n">
        <f aca="false">MIN(IF(A534&gt;0,Calculator!$B$13,0)+E534+Calculator!$B$14,'Tax Tables'!$B$36)</f>
        <v>1000</v>
      </c>
      <c r="L534" s="11" t="n">
        <f aca="false">MAX(A534-K534,0)</f>
        <v>259500</v>
      </c>
      <c r="M534" s="11" t="n">
        <f aca="false">SUMPRODUCT((L534&gt;'Tax Tables'!$A$5:$A$17)*(L534-'Tax Tables'!$A$5:$A$17)*'Tax Tables'!$C$5:$C$17)</f>
        <v>32552.5</v>
      </c>
      <c r="N534" s="11" t="n">
        <f aca="false">IF(H534&lt;0,-1E+099,A534-E534-M534+J534+(E534+F534)*Calculator!$B$9)</f>
        <v>356015</v>
      </c>
      <c r="O534" s="2"/>
      <c r="P534" s="11" t="n">
        <f aca="false">521*$B$3</f>
        <v>260500</v>
      </c>
      <c r="Q534" s="11" t="n">
        <f aca="false">MIN(P534,'Tax Tables'!$B$31*'Tax Tables'!$B$32)</f>
        <v>96000</v>
      </c>
      <c r="R534" s="11" t="n">
        <f aca="false">P534-Q534</f>
        <v>164500</v>
      </c>
      <c r="S534" s="11" t="n">
        <f aca="false">IF(Calculator!$B$6="Yes",MIN(Q534,'Tax Tables'!$B$31*'Tax Tables'!$B$32),0)</f>
        <v>96000</v>
      </c>
      <c r="T534" s="11" t="n">
        <f aca="false">S534*Calculator!$B$7</f>
        <v>19200</v>
      </c>
      <c r="U534" s="11" t="n">
        <f aca="false">S534*Calculator!$B$8</f>
        <v>16320</v>
      </c>
      <c r="V534" s="11" t="n">
        <f aca="false">IF(Q534&gt;0,'Tax Tables'!$B$32*MIN(MAX(Q534/'Tax Tables'!$B$32*'Tax Tables'!$B$33,'Tax Tables'!$B$34),'Tax Tables'!$B$35),0)</f>
        <v>135</v>
      </c>
      <c r="W534" s="11" t="n">
        <f aca="false">Calculator!$B$5-P534-U534-V534</f>
        <v>123045</v>
      </c>
      <c r="X534" s="11" t="n">
        <f aca="false">'Tax Tables'!$B$22*(MAX(W534,0)-IF(Calculator!$B$10="Yes",MIN(MAX(W534,0),'Tax Tables'!$B$27)*'Tax Tables'!$B$28+MIN(MAX(MAX(W534,0)-'Tax Tables'!$B$27,0),'Tax Tables'!$B$29)*'Tax Tables'!$B$30,MIN(MAX(W534,0),'Tax Tables'!$B$23)*'Tax Tables'!$B$24+MIN(MAX(MAX(W534,0)-'Tax Tables'!$B$23,0),'Tax Tables'!$B$25)*'Tax Tables'!$B$26))*1-MIN('Tax Tables'!$B$22*(MAX(W534,0)-IF(Calculator!$B$10="Yes",MIN(MAX(W534,0),'Tax Tables'!$B$27)*'Tax Tables'!$B$28+MIN(MAX(MAX(W534,0)-'Tax Tables'!$B$27,0),'Tax Tables'!$B$29)*'Tax Tables'!$B$30,MIN(MAX(W534,0),'Tax Tables'!$B$23)*'Tax Tables'!$B$24+MIN(MAX(MAX(W534,0)-'Tax Tables'!$B$23,0),'Tax Tables'!$B$25)*'Tax Tables'!$B$26))*Calculator!$B$11,Calculator!$B$12)</f>
        <v>10033.825</v>
      </c>
      <c r="Y534" s="11" t="n">
        <f aca="false">MAX(W534,0)-X534</f>
        <v>113011.175</v>
      </c>
      <c r="Z534" s="11" t="n">
        <f aca="false">MIN(IF(P534&gt;0,Calculator!$B$13,0)+T534+Calculator!$B$14,'Tax Tables'!$B$36)</f>
        <v>20200</v>
      </c>
      <c r="AA534" s="11" t="n">
        <f aca="false">MAX(P534-Z534,0)</f>
        <v>240300</v>
      </c>
      <c r="AB534" s="11" t="n">
        <f aca="false">SUMPRODUCT((AA534&gt;'Tax Tables'!$A$5:$A$17)*(AA534-'Tax Tables'!$A$5:$A$17)*'Tax Tables'!$C$5:$C$17)</f>
        <v>28808.5</v>
      </c>
      <c r="AC534" s="11" t="n">
        <f aca="false">IF(W534&lt;0,-1E+099,P534-T534-AB534+Y534+(T534+U534)*Calculator!$B$9)</f>
        <v>361022.675</v>
      </c>
    </row>
    <row r="535" customFormat="false" ht="15" hidden="false" customHeight="false" outlineLevel="0" collapsed="false">
      <c r="A535" s="11" t="n">
        <f aca="false">522*$B$3</f>
        <v>261000</v>
      </c>
      <c r="B535" s="11" t="n">
        <f aca="false">0</f>
        <v>0</v>
      </c>
      <c r="C535" s="11" t="n">
        <f aca="false">A535-B535</f>
        <v>261000</v>
      </c>
      <c r="D535" s="11" t="n">
        <f aca="false">IF(Calculator!$B$6="Yes",MIN(B535,'Tax Tables'!$B$31*'Tax Tables'!$B$32),0)</f>
        <v>0</v>
      </c>
      <c r="E535" s="11" t="n">
        <f aca="false">D535*Calculator!$B$7</f>
        <v>0</v>
      </c>
      <c r="F535" s="11" t="n">
        <f aca="false">D535*Calculator!$B$8</f>
        <v>0</v>
      </c>
      <c r="G535" s="11" t="n">
        <f aca="false">IF(B535&gt;0,'Tax Tables'!$B$32*MIN(MAX(B535/'Tax Tables'!$B$32*'Tax Tables'!$B$33,'Tax Tables'!$B$34),'Tax Tables'!$B$35),0)</f>
        <v>0</v>
      </c>
      <c r="H535" s="11" t="n">
        <f aca="false">Calculator!$B$5-A535-F535-G535</f>
        <v>139000</v>
      </c>
      <c r="I535" s="11" t="n">
        <f aca="false">'Tax Tables'!$B$22*(MAX(H535,0)-IF(Calculator!$B$10="Yes",MIN(MAX(H535,0),'Tax Tables'!$B$27)*'Tax Tables'!$B$28+MIN(MAX(MAX(H535,0)-'Tax Tables'!$B$27,0),'Tax Tables'!$B$29)*'Tax Tables'!$B$30,MIN(MAX(H535,0),'Tax Tables'!$B$23)*'Tax Tables'!$B$24+MIN(MAX(MAX(H535,0)-'Tax Tables'!$B$23,0),'Tax Tables'!$B$25)*'Tax Tables'!$B$26))*1-MIN('Tax Tables'!$B$22*(MAX(H535,0)-IF(Calculator!$B$10="Yes",MIN(MAX(H535,0),'Tax Tables'!$B$27)*'Tax Tables'!$B$28+MIN(MAX(MAX(H535,0)-'Tax Tables'!$B$27,0),'Tax Tables'!$B$29)*'Tax Tables'!$B$30,MIN(MAX(H535,0),'Tax Tables'!$B$23)*'Tax Tables'!$B$24+MIN(MAX(MAX(H535,0)-'Tax Tables'!$B$23,0),'Tax Tables'!$B$25)*'Tax Tables'!$B$26))*Calculator!$B$11,Calculator!$B$12)</f>
        <v>11390</v>
      </c>
      <c r="J535" s="11" t="n">
        <f aca="false">MAX(H535,0)-I535</f>
        <v>127610</v>
      </c>
      <c r="K535" s="11" t="n">
        <f aca="false">MIN(IF(A535&gt;0,Calculator!$B$13,0)+E535+Calculator!$B$14,'Tax Tables'!$B$36)</f>
        <v>1000</v>
      </c>
      <c r="L535" s="11" t="n">
        <f aca="false">MAX(A535-K535,0)</f>
        <v>260000</v>
      </c>
      <c r="M535" s="11" t="n">
        <f aca="false">SUMPRODUCT((L535&gt;'Tax Tables'!$A$5:$A$17)*(L535-'Tax Tables'!$A$5:$A$17)*'Tax Tables'!$C$5:$C$17)</f>
        <v>32650</v>
      </c>
      <c r="N535" s="11" t="n">
        <f aca="false">IF(H535&lt;0,-1E+099,A535-E535-M535+J535+(E535+F535)*Calculator!$B$9)</f>
        <v>355960</v>
      </c>
      <c r="O535" s="2"/>
      <c r="P535" s="11" t="n">
        <f aca="false">522*$B$3</f>
        <v>261000</v>
      </c>
      <c r="Q535" s="11" t="n">
        <f aca="false">MIN(P535,'Tax Tables'!$B$31*'Tax Tables'!$B$32)</f>
        <v>96000</v>
      </c>
      <c r="R535" s="11" t="n">
        <f aca="false">P535-Q535</f>
        <v>165000</v>
      </c>
      <c r="S535" s="11" t="n">
        <f aca="false">IF(Calculator!$B$6="Yes",MIN(Q535,'Tax Tables'!$B$31*'Tax Tables'!$B$32),0)</f>
        <v>96000</v>
      </c>
      <c r="T535" s="11" t="n">
        <f aca="false">S535*Calculator!$B$7</f>
        <v>19200</v>
      </c>
      <c r="U535" s="11" t="n">
        <f aca="false">S535*Calculator!$B$8</f>
        <v>16320</v>
      </c>
      <c r="V535" s="11" t="n">
        <f aca="false">IF(Q535&gt;0,'Tax Tables'!$B$32*MIN(MAX(Q535/'Tax Tables'!$B$32*'Tax Tables'!$B$33,'Tax Tables'!$B$34),'Tax Tables'!$B$35),0)</f>
        <v>135</v>
      </c>
      <c r="W535" s="11" t="n">
        <f aca="false">Calculator!$B$5-P535-U535-V535</f>
        <v>122545</v>
      </c>
      <c r="X535" s="11" t="n">
        <f aca="false">'Tax Tables'!$B$22*(MAX(W535,0)-IF(Calculator!$B$10="Yes",MIN(MAX(W535,0),'Tax Tables'!$B$27)*'Tax Tables'!$B$28+MIN(MAX(MAX(W535,0)-'Tax Tables'!$B$27,0),'Tax Tables'!$B$29)*'Tax Tables'!$B$30,MIN(MAX(W535,0),'Tax Tables'!$B$23)*'Tax Tables'!$B$24+MIN(MAX(MAX(W535,0)-'Tax Tables'!$B$23,0),'Tax Tables'!$B$25)*'Tax Tables'!$B$26))*1-MIN('Tax Tables'!$B$22*(MAX(W535,0)-IF(Calculator!$B$10="Yes",MIN(MAX(W535,0),'Tax Tables'!$B$27)*'Tax Tables'!$B$28+MIN(MAX(MAX(W535,0)-'Tax Tables'!$B$27,0),'Tax Tables'!$B$29)*'Tax Tables'!$B$30,MIN(MAX(W535,0),'Tax Tables'!$B$23)*'Tax Tables'!$B$24+MIN(MAX(MAX(W535,0)-'Tax Tables'!$B$23,0),'Tax Tables'!$B$25)*'Tax Tables'!$B$26))*Calculator!$B$11,Calculator!$B$12)</f>
        <v>9991.325</v>
      </c>
      <c r="Y535" s="11" t="n">
        <f aca="false">MAX(W535,0)-X535</f>
        <v>112553.675</v>
      </c>
      <c r="Z535" s="11" t="n">
        <f aca="false">MIN(IF(P535&gt;0,Calculator!$B$13,0)+T535+Calculator!$B$14,'Tax Tables'!$B$36)</f>
        <v>20200</v>
      </c>
      <c r="AA535" s="11" t="n">
        <f aca="false">MAX(P535-Z535,0)</f>
        <v>240800</v>
      </c>
      <c r="AB535" s="11" t="n">
        <f aca="false">SUMPRODUCT((AA535&gt;'Tax Tables'!$A$5:$A$17)*(AA535-'Tax Tables'!$A$5:$A$17)*'Tax Tables'!$C$5:$C$17)</f>
        <v>28906</v>
      </c>
      <c r="AC535" s="11" t="n">
        <f aca="false">IF(W535&lt;0,-1E+099,P535-T535-AB535+Y535+(T535+U535)*Calculator!$B$9)</f>
        <v>360967.675</v>
      </c>
    </row>
    <row r="536" customFormat="false" ht="15" hidden="false" customHeight="false" outlineLevel="0" collapsed="false">
      <c r="A536" s="11" t="n">
        <f aca="false">523*$B$3</f>
        <v>261500</v>
      </c>
      <c r="B536" s="11" t="n">
        <f aca="false">0</f>
        <v>0</v>
      </c>
      <c r="C536" s="11" t="n">
        <f aca="false">A536-B536</f>
        <v>261500</v>
      </c>
      <c r="D536" s="11" t="n">
        <f aca="false">IF(Calculator!$B$6="Yes",MIN(B536,'Tax Tables'!$B$31*'Tax Tables'!$B$32),0)</f>
        <v>0</v>
      </c>
      <c r="E536" s="11" t="n">
        <f aca="false">D536*Calculator!$B$7</f>
        <v>0</v>
      </c>
      <c r="F536" s="11" t="n">
        <f aca="false">D536*Calculator!$B$8</f>
        <v>0</v>
      </c>
      <c r="G536" s="11" t="n">
        <f aca="false">IF(B536&gt;0,'Tax Tables'!$B$32*MIN(MAX(B536/'Tax Tables'!$B$32*'Tax Tables'!$B$33,'Tax Tables'!$B$34),'Tax Tables'!$B$35),0)</f>
        <v>0</v>
      </c>
      <c r="H536" s="11" t="n">
        <f aca="false">Calculator!$B$5-A536-F536-G536</f>
        <v>138500</v>
      </c>
      <c r="I536" s="11" t="n">
        <f aca="false">'Tax Tables'!$B$22*(MAX(H536,0)-IF(Calculator!$B$10="Yes",MIN(MAX(H536,0),'Tax Tables'!$B$27)*'Tax Tables'!$B$28+MIN(MAX(MAX(H536,0)-'Tax Tables'!$B$27,0),'Tax Tables'!$B$29)*'Tax Tables'!$B$30,MIN(MAX(H536,0),'Tax Tables'!$B$23)*'Tax Tables'!$B$24+MIN(MAX(MAX(H536,0)-'Tax Tables'!$B$23,0),'Tax Tables'!$B$25)*'Tax Tables'!$B$26))*1-MIN('Tax Tables'!$B$22*(MAX(H536,0)-IF(Calculator!$B$10="Yes",MIN(MAX(H536,0),'Tax Tables'!$B$27)*'Tax Tables'!$B$28+MIN(MAX(MAX(H536,0)-'Tax Tables'!$B$27,0),'Tax Tables'!$B$29)*'Tax Tables'!$B$30,MIN(MAX(H536,0),'Tax Tables'!$B$23)*'Tax Tables'!$B$24+MIN(MAX(MAX(H536,0)-'Tax Tables'!$B$23,0),'Tax Tables'!$B$25)*'Tax Tables'!$B$26))*Calculator!$B$11,Calculator!$B$12)</f>
        <v>11347.5</v>
      </c>
      <c r="J536" s="11" t="n">
        <f aca="false">MAX(H536,0)-I536</f>
        <v>127152.5</v>
      </c>
      <c r="K536" s="11" t="n">
        <f aca="false">MIN(IF(A536&gt;0,Calculator!$B$13,0)+E536+Calculator!$B$14,'Tax Tables'!$B$36)</f>
        <v>1000</v>
      </c>
      <c r="L536" s="11" t="n">
        <f aca="false">MAX(A536-K536,0)</f>
        <v>260500</v>
      </c>
      <c r="M536" s="11" t="n">
        <f aca="false">SUMPRODUCT((L536&gt;'Tax Tables'!$A$5:$A$17)*(L536-'Tax Tables'!$A$5:$A$17)*'Tax Tables'!$C$5:$C$17)</f>
        <v>32747.5</v>
      </c>
      <c r="N536" s="11" t="n">
        <f aca="false">IF(H536&lt;0,-1E+099,A536-E536-M536+J536+(E536+F536)*Calculator!$B$9)</f>
        <v>355905</v>
      </c>
      <c r="O536" s="2"/>
      <c r="P536" s="11" t="n">
        <f aca="false">523*$B$3</f>
        <v>261500</v>
      </c>
      <c r="Q536" s="11" t="n">
        <f aca="false">MIN(P536,'Tax Tables'!$B$31*'Tax Tables'!$B$32)</f>
        <v>96000</v>
      </c>
      <c r="R536" s="11" t="n">
        <f aca="false">P536-Q536</f>
        <v>165500</v>
      </c>
      <c r="S536" s="11" t="n">
        <f aca="false">IF(Calculator!$B$6="Yes",MIN(Q536,'Tax Tables'!$B$31*'Tax Tables'!$B$32),0)</f>
        <v>96000</v>
      </c>
      <c r="T536" s="11" t="n">
        <f aca="false">S536*Calculator!$B$7</f>
        <v>19200</v>
      </c>
      <c r="U536" s="11" t="n">
        <f aca="false">S536*Calculator!$B$8</f>
        <v>16320</v>
      </c>
      <c r="V536" s="11" t="n">
        <f aca="false">IF(Q536&gt;0,'Tax Tables'!$B$32*MIN(MAX(Q536/'Tax Tables'!$B$32*'Tax Tables'!$B$33,'Tax Tables'!$B$34),'Tax Tables'!$B$35),0)</f>
        <v>135</v>
      </c>
      <c r="W536" s="11" t="n">
        <f aca="false">Calculator!$B$5-P536-U536-V536</f>
        <v>122045</v>
      </c>
      <c r="X536" s="11" t="n">
        <f aca="false">'Tax Tables'!$B$22*(MAX(W536,0)-IF(Calculator!$B$10="Yes",MIN(MAX(W536,0),'Tax Tables'!$B$27)*'Tax Tables'!$B$28+MIN(MAX(MAX(W536,0)-'Tax Tables'!$B$27,0),'Tax Tables'!$B$29)*'Tax Tables'!$B$30,MIN(MAX(W536,0),'Tax Tables'!$B$23)*'Tax Tables'!$B$24+MIN(MAX(MAX(W536,0)-'Tax Tables'!$B$23,0),'Tax Tables'!$B$25)*'Tax Tables'!$B$26))*1-MIN('Tax Tables'!$B$22*(MAX(W536,0)-IF(Calculator!$B$10="Yes",MIN(MAX(W536,0),'Tax Tables'!$B$27)*'Tax Tables'!$B$28+MIN(MAX(MAX(W536,0)-'Tax Tables'!$B$27,0),'Tax Tables'!$B$29)*'Tax Tables'!$B$30,MIN(MAX(W536,0),'Tax Tables'!$B$23)*'Tax Tables'!$B$24+MIN(MAX(MAX(W536,0)-'Tax Tables'!$B$23,0),'Tax Tables'!$B$25)*'Tax Tables'!$B$26))*Calculator!$B$11,Calculator!$B$12)</f>
        <v>9948.825</v>
      </c>
      <c r="Y536" s="11" t="n">
        <f aca="false">MAX(W536,0)-X536</f>
        <v>112096.175</v>
      </c>
      <c r="Z536" s="11" t="n">
        <f aca="false">MIN(IF(P536&gt;0,Calculator!$B$13,0)+T536+Calculator!$B$14,'Tax Tables'!$B$36)</f>
        <v>20200</v>
      </c>
      <c r="AA536" s="11" t="n">
        <f aca="false">MAX(P536-Z536,0)</f>
        <v>241300</v>
      </c>
      <c r="AB536" s="11" t="n">
        <f aca="false">SUMPRODUCT((AA536&gt;'Tax Tables'!$A$5:$A$17)*(AA536-'Tax Tables'!$A$5:$A$17)*'Tax Tables'!$C$5:$C$17)</f>
        <v>29003.5</v>
      </c>
      <c r="AC536" s="11" t="n">
        <f aca="false">IF(W536&lt;0,-1E+099,P536-T536-AB536+Y536+(T536+U536)*Calculator!$B$9)</f>
        <v>360912.675</v>
      </c>
    </row>
    <row r="537" customFormat="false" ht="15" hidden="false" customHeight="false" outlineLevel="0" collapsed="false">
      <c r="A537" s="11" t="n">
        <f aca="false">524*$B$3</f>
        <v>262000</v>
      </c>
      <c r="B537" s="11" t="n">
        <f aca="false">0</f>
        <v>0</v>
      </c>
      <c r="C537" s="11" t="n">
        <f aca="false">A537-B537</f>
        <v>262000</v>
      </c>
      <c r="D537" s="11" t="n">
        <f aca="false">IF(Calculator!$B$6="Yes",MIN(B537,'Tax Tables'!$B$31*'Tax Tables'!$B$32),0)</f>
        <v>0</v>
      </c>
      <c r="E537" s="11" t="n">
        <f aca="false">D537*Calculator!$B$7</f>
        <v>0</v>
      </c>
      <c r="F537" s="11" t="n">
        <f aca="false">D537*Calculator!$B$8</f>
        <v>0</v>
      </c>
      <c r="G537" s="11" t="n">
        <f aca="false">IF(B537&gt;0,'Tax Tables'!$B$32*MIN(MAX(B537/'Tax Tables'!$B$32*'Tax Tables'!$B$33,'Tax Tables'!$B$34),'Tax Tables'!$B$35),0)</f>
        <v>0</v>
      </c>
      <c r="H537" s="11" t="n">
        <f aca="false">Calculator!$B$5-A537-F537-G537</f>
        <v>138000</v>
      </c>
      <c r="I537" s="11" t="n">
        <f aca="false">'Tax Tables'!$B$22*(MAX(H537,0)-IF(Calculator!$B$10="Yes",MIN(MAX(H537,0),'Tax Tables'!$B$27)*'Tax Tables'!$B$28+MIN(MAX(MAX(H537,0)-'Tax Tables'!$B$27,0),'Tax Tables'!$B$29)*'Tax Tables'!$B$30,MIN(MAX(H537,0),'Tax Tables'!$B$23)*'Tax Tables'!$B$24+MIN(MAX(MAX(H537,0)-'Tax Tables'!$B$23,0),'Tax Tables'!$B$25)*'Tax Tables'!$B$26))*1-MIN('Tax Tables'!$B$22*(MAX(H537,0)-IF(Calculator!$B$10="Yes",MIN(MAX(H537,0),'Tax Tables'!$B$27)*'Tax Tables'!$B$28+MIN(MAX(MAX(H537,0)-'Tax Tables'!$B$27,0),'Tax Tables'!$B$29)*'Tax Tables'!$B$30,MIN(MAX(H537,0),'Tax Tables'!$B$23)*'Tax Tables'!$B$24+MIN(MAX(MAX(H537,0)-'Tax Tables'!$B$23,0),'Tax Tables'!$B$25)*'Tax Tables'!$B$26))*Calculator!$B$11,Calculator!$B$12)</f>
        <v>11305</v>
      </c>
      <c r="J537" s="11" t="n">
        <f aca="false">MAX(H537,0)-I537</f>
        <v>126695</v>
      </c>
      <c r="K537" s="11" t="n">
        <f aca="false">MIN(IF(A537&gt;0,Calculator!$B$13,0)+E537+Calculator!$B$14,'Tax Tables'!$B$36)</f>
        <v>1000</v>
      </c>
      <c r="L537" s="11" t="n">
        <f aca="false">MAX(A537-K537,0)</f>
        <v>261000</v>
      </c>
      <c r="M537" s="11" t="n">
        <f aca="false">SUMPRODUCT((L537&gt;'Tax Tables'!$A$5:$A$17)*(L537-'Tax Tables'!$A$5:$A$17)*'Tax Tables'!$C$5:$C$17)</f>
        <v>32845</v>
      </c>
      <c r="N537" s="11" t="n">
        <f aca="false">IF(H537&lt;0,-1E+099,A537-E537-M537+J537+(E537+F537)*Calculator!$B$9)</f>
        <v>355850</v>
      </c>
      <c r="O537" s="2"/>
      <c r="P537" s="11" t="n">
        <f aca="false">524*$B$3</f>
        <v>262000</v>
      </c>
      <c r="Q537" s="11" t="n">
        <f aca="false">MIN(P537,'Tax Tables'!$B$31*'Tax Tables'!$B$32)</f>
        <v>96000</v>
      </c>
      <c r="R537" s="11" t="n">
        <f aca="false">P537-Q537</f>
        <v>166000</v>
      </c>
      <c r="S537" s="11" t="n">
        <f aca="false">IF(Calculator!$B$6="Yes",MIN(Q537,'Tax Tables'!$B$31*'Tax Tables'!$B$32),0)</f>
        <v>96000</v>
      </c>
      <c r="T537" s="11" t="n">
        <f aca="false">S537*Calculator!$B$7</f>
        <v>19200</v>
      </c>
      <c r="U537" s="11" t="n">
        <f aca="false">S537*Calculator!$B$8</f>
        <v>16320</v>
      </c>
      <c r="V537" s="11" t="n">
        <f aca="false">IF(Q537&gt;0,'Tax Tables'!$B$32*MIN(MAX(Q537/'Tax Tables'!$B$32*'Tax Tables'!$B$33,'Tax Tables'!$B$34),'Tax Tables'!$B$35),0)</f>
        <v>135</v>
      </c>
      <c r="W537" s="11" t="n">
        <f aca="false">Calculator!$B$5-P537-U537-V537</f>
        <v>121545</v>
      </c>
      <c r="X537" s="11" t="n">
        <f aca="false">'Tax Tables'!$B$22*(MAX(W537,0)-IF(Calculator!$B$10="Yes",MIN(MAX(W537,0),'Tax Tables'!$B$27)*'Tax Tables'!$B$28+MIN(MAX(MAX(W537,0)-'Tax Tables'!$B$27,0),'Tax Tables'!$B$29)*'Tax Tables'!$B$30,MIN(MAX(W537,0),'Tax Tables'!$B$23)*'Tax Tables'!$B$24+MIN(MAX(MAX(W537,0)-'Tax Tables'!$B$23,0),'Tax Tables'!$B$25)*'Tax Tables'!$B$26))*1-MIN('Tax Tables'!$B$22*(MAX(W537,0)-IF(Calculator!$B$10="Yes",MIN(MAX(W537,0),'Tax Tables'!$B$27)*'Tax Tables'!$B$28+MIN(MAX(MAX(W537,0)-'Tax Tables'!$B$27,0),'Tax Tables'!$B$29)*'Tax Tables'!$B$30,MIN(MAX(W537,0),'Tax Tables'!$B$23)*'Tax Tables'!$B$24+MIN(MAX(MAX(W537,0)-'Tax Tables'!$B$23,0),'Tax Tables'!$B$25)*'Tax Tables'!$B$26))*Calculator!$B$11,Calculator!$B$12)</f>
        <v>9906.325</v>
      </c>
      <c r="Y537" s="11" t="n">
        <f aca="false">MAX(W537,0)-X537</f>
        <v>111638.675</v>
      </c>
      <c r="Z537" s="11" t="n">
        <f aca="false">MIN(IF(P537&gt;0,Calculator!$B$13,0)+T537+Calculator!$B$14,'Tax Tables'!$B$36)</f>
        <v>20200</v>
      </c>
      <c r="AA537" s="11" t="n">
        <f aca="false">MAX(P537-Z537,0)</f>
        <v>241800</v>
      </c>
      <c r="AB537" s="11" t="n">
        <f aca="false">SUMPRODUCT((AA537&gt;'Tax Tables'!$A$5:$A$17)*(AA537-'Tax Tables'!$A$5:$A$17)*'Tax Tables'!$C$5:$C$17)</f>
        <v>29101</v>
      </c>
      <c r="AC537" s="11" t="n">
        <f aca="false">IF(W537&lt;0,-1E+099,P537-T537-AB537+Y537+(T537+U537)*Calculator!$B$9)</f>
        <v>360857.675</v>
      </c>
    </row>
    <row r="538" customFormat="false" ht="15" hidden="false" customHeight="false" outlineLevel="0" collapsed="false">
      <c r="A538" s="11" t="n">
        <f aca="false">525*$B$3</f>
        <v>262500</v>
      </c>
      <c r="B538" s="11" t="n">
        <f aca="false">0</f>
        <v>0</v>
      </c>
      <c r="C538" s="11" t="n">
        <f aca="false">A538-B538</f>
        <v>262500</v>
      </c>
      <c r="D538" s="11" t="n">
        <f aca="false">IF(Calculator!$B$6="Yes",MIN(B538,'Tax Tables'!$B$31*'Tax Tables'!$B$32),0)</f>
        <v>0</v>
      </c>
      <c r="E538" s="11" t="n">
        <f aca="false">D538*Calculator!$B$7</f>
        <v>0</v>
      </c>
      <c r="F538" s="11" t="n">
        <f aca="false">D538*Calculator!$B$8</f>
        <v>0</v>
      </c>
      <c r="G538" s="11" t="n">
        <f aca="false">IF(B538&gt;0,'Tax Tables'!$B$32*MIN(MAX(B538/'Tax Tables'!$B$32*'Tax Tables'!$B$33,'Tax Tables'!$B$34),'Tax Tables'!$B$35),0)</f>
        <v>0</v>
      </c>
      <c r="H538" s="11" t="n">
        <f aca="false">Calculator!$B$5-A538-F538-G538</f>
        <v>137500</v>
      </c>
      <c r="I538" s="11" t="n">
        <f aca="false">'Tax Tables'!$B$22*(MAX(H538,0)-IF(Calculator!$B$10="Yes",MIN(MAX(H538,0),'Tax Tables'!$B$27)*'Tax Tables'!$B$28+MIN(MAX(MAX(H538,0)-'Tax Tables'!$B$27,0),'Tax Tables'!$B$29)*'Tax Tables'!$B$30,MIN(MAX(H538,0),'Tax Tables'!$B$23)*'Tax Tables'!$B$24+MIN(MAX(MAX(H538,0)-'Tax Tables'!$B$23,0),'Tax Tables'!$B$25)*'Tax Tables'!$B$26))*1-MIN('Tax Tables'!$B$22*(MAX(H538,0)-IF(Calculator!$B$10="Yes",MIN(MAX(H538,0),'Tax Tables'!$B$27)*'Tax Tables'!$B$28+MIN(MAX(MAX(H538,0)-'Tax Tables'!$B$27,0),'Tax Tables'!$B$29)*'Tax Tables'!$B$30,MIN(MAX(H538,0),'Tax Tables'!$B$23)*'Tax Tables'!$B$24+MIN(MAX(MAX(H538,0)-'Tax Tables'!$B$23,0),'Tax Tables'!$B$25)*'Tax Tables'!$B$26))*Calculator!$B$11,Calculator!$B$12)</f>
        <v>11262.5</v>
      </c>
      <c r="J538" s="11" t="n">
        <f aca="false">MAX(H538,0)-I538</f>
        <v>126237.5</v>
      </c>
      <c r="K538" s="11" t="n">
        <f aca="false">MIN(IF(A538&gt;0,Calculator!$B$13,0)+E538+Calculator!$B$14,'Tax Tables'!$B$36)</f>
        <v>1000</v>
      </c>
      <c r="L538" s="11" t="n">
        <f aca="false">MAX(A538-K538,0)</f>
        <v>261500</v>
      </c>
      <c r="M538" s="11" t="n">
        <f aca="false">SUMPRODUCT((L538&gt;'Tax Tables'!$A$5:$A$17)*(L538-'Tax Tables'!$A$5:$A$17)*'Tax Tables'!$C$5:$C$17)</f>
        <v>32942.5</v>
      </c>
      <c r="N538" s="11" t="n">
        <f aca="false">IF(H538&lt;0,-1E+099,A538-E538-M538+J538+(E538+F538)*Calculator!$B$9)</f>
        <v>355795</v>
      </c>
      <c r="O538" s="2"/>
      <c r="P538" s="11" t="n">
        <f aca="false">525*$B$3</f>
        <v>262500</v>
      </c>
      <c r="Q538" s="11" t="n">
        <f aca="false">MIN(P538,'Tax Tables'!$B$31*'Tax Tables'!$B$32)</f>
        <v>96000</v>
      </c>
      <c r="R538" s="11" t="n">
        <f aca="false">P538-Q538</f>
        <v>166500</v>
      </c>
      <c r="S538" s="11" t="n">
        <f aca="false">IF(Calculator!$B$6="Yes",MIN(Q538,'Tax Tables'!$B$31*'Tax Tables'!$B$32),0)</f>
        <v>96000</v>
      </c>
      <c r="T538" s="11" t="n">
        <f aca="false">S538*Calculator!$B$7</f>
        <v>19200</v>
      </c>
      <c r="U538" s="11" t="n">
        <f aca="false">S538*Calculator!$B$8</f>
        <v>16320</v>
      </c>
      <c r="V538" s="11" t="n">
        <f aca="false">IF(Q538&gt;0,'Tax Tables'!$B$32*MIN(MAX(Q538/'Tax Tables'!$B$32*'Tax Tables'!$B$33,'Tax Tables'!$B$34),'Tax Tables'!$B$35),0)</f>
        <v>135</v>
      </c>
      <c r="W538" s="11" t="n">
        <f aca="false">Calculator!$B$5-P538-U538-V538</f>
        <v>121045</v>
      </c>
      <c r="X538" s="11" t="n">
        <f aca="false">'Tax Tables'!$B$22*(MAX(W538,0)-IF(Calculator!$B$10="Yes",MIN(MAX(W538,0),'Tax Tables'!$B$27)*'Tax Tables'!$B$28+MIN(MAX(MAX(W538,0)-'Tax Tables'!$B$27,0),'Tax Tables'!$B$29)*'Tax Tables'!$B$30,MIN(MAX(W538,0),'Tax Tables'!$B$23)*'Tax Tables'!$B$24+MIN(MAX(MAX(W538,0)-'Tax Tables'!$B$23,0),'Tax Tables'!$B$25)*'Tax Tables'!$B$26))*1-MIN('Tax Tables'!$B$22*(MAX(W538,0)-IF(Calculator!$B$10="Yes",MIN(MAX(W538,0),'Tax Tables'!$B$27)*'Tax Tables'!$B$28+MIN(MAX(MAX(W538,0)-'Tax Tables'!$B$27,0),'Tax Tables'!$B$29)*'Tax Tables'!$B$30,MIN(MAX(W538,0),'Tax Tables'!$B$23)*'Tax Tables'!$B$24+MIN(MAX(MAX(W538,0)-'Tax Tables'!$B$23,0),'Tax Tables'!$B$25)*'Tax Tables'!$B$26))*Calculator!$B$11,Calculator!$B$12)</f>
        <v>9863.825</v>
      </c>
      <c r="Y538" s="11" t="n">
        <f aca="false">MAX(W538,0)-X538</f>
        <v>111181.175</v>
      </c>
      <c r="Z538" s="11" t="n">
        <f aca="false">MIN(IF(P538&gt;0,Calculator!$B$13,0)+T538+Calculator!$B$14,'Tax Tables'!$B$36)</f>
        <v>20200</v>
      </c>
      <c r="AA538" s="11" t="n">
        <f aca="false">MAX(P538-Z538,0)</f>
        <v>242300</v>
      </c>
      <c r="AB538" s="11" t="n">
        <f aca="false">SUMPRODUCT((AA538&gt;'Tax Tables'!$A$5:$A$17)*(AA538-'Tax Tables'!$A$5:$A$17)*'Tax Tables'!$C$5:$C$17)</f>
        <v>29198.5</v>
      </c>
      <c r="AC538" s="11" t="n">
        <f aca="false">IF(W538&lt;0,-1E+099,P538-T538-AB538+Y538+(T538+U538)*Calculator!$B$9)</f>
        <v>360802.675</v>
      </c>
    </row>
    <row r="539" customFormat="false" ht="15" hidden="false" customHeight="false" outlineLevel="0" collapsed="false">
      <c r="A539" s="11" t="n">
        <f aca="false">526*$B$3</f>
        <v>263000</v>
      </c>
      <c r="B539" s="11" t="n">
        <f aca="false">0</f>
        <v>0</v>
      </c>
      <c r="C539" s="11" t="n">
        <f aca="false">A539-B539</f>
        <v>263000</v>
      </c>
      <c r="D539" s="11" t="n">
        <f aca="false">IF(Calculator!$B$6="Yes",MIN(B539,'Tax Tables'!$B$31*'Tax Tables'!$B$32),0)</f>
        <v>0</v>
      </c>
      <c r="E539" s="11" t="n">
        <f aca="false">D539*Calculator!$B$7</f>
        <v>0</v>
      </c>
      <c r="F539" s="11" t="n">
        <f aca="false">D539*Calculator!$B$8</f>
        <v>0</v>
      </c>
      <c r="G539" s="11" t="n">
        <f aca="false">IF(B539&gt;0,'Tax Tables'!$B$32*MIN(MAX(B539/'Tax Tables'!$B$32*'Tax Tables'!$B$33,'Tax Tables'!$B$34),'Tax Tables'!$B$35),0)</f>
        <v>0</v>
      </c>
      <c r="H539" s="11" t="n">
        <f aca="false">Calculator!$B$5-A539-F539-G539</f>
        <v>137000</v>
      </c>
      <c r="I539" s="11" t="n">
        <f aca="false">'Tax Tables'!$B$22*(MAX(H539,0)-IF(Calculator!$B$10="Yes",MIN(MAX(H539,0),'Tax Tables'!$B$27)*'Tax Tables'!$B$28+MIN(MAX(MAX(H539,0)-'Tax Tables'!$B$27,0),'Tax Tables'!$B$29)*'Tax Tables'!$B$30,MIN(MAX(H539,0),'Tax Tables'!$B$23)*'Tax Tables'!$B$24+MIN(MAX(MAX(H539,0)-'Tax Tables'!$B$23,0),'Tax Tables'!$B$25)*'Tax Tables'!$B$26))*1-MIN('Tax Tables'!$B$22*(MAX(H539,0)-IF(Calculator!$B$10="Yes",MIN(MAX(H539,0),'Tax Tables'!$B$27)*'Tax Tables'!$B$28+MIN(MAX(MAX(H539,0)-'Tax Tables'!$B$27,0),'Tax Tables'!$B$29)*'Tax Tables'!$B$30,MIN(MAX(H539,0),'Tax Tables'!$B$23)*'Tax Tables'!$B$24+MIN(MAX(MAX(H539,0)-'Tax Tables'!$B$23,0),'Tax Tables'!$B$25)*'Tax Tables'!$B$26))*Calculator!$B$11,Calculator!$B$12)</f>
        <v>11220</v>
      </c>
      <c r="J539" s="11" t="n">
        <f aca="false">MAX(H539,0)-I539</f>
        <v>125780</v>
      </c>
      <c r="K539" s="11" t="n">
        <f aca="false">MIN(IF(A539&gt;0,Calculator!$B$13,0)+E539+Calculator!$B$14,'Tax Tables'!$B$36)</f>
        <v>1000</v>
      </c>
      <c r="L539" s="11" t="n">
        <f aca="false">MAX(A539-K539,0)</f>
        <v>262000</v>
      </c>
      <c r="M539" s="11" t="n">
        <f aca="false">SUMPRODUCT((L539&gt;'Tax Tables'!$A$5:$A$17)*(L539-'Tax Tables'!$A$5:$A$17)*'Tax Tables'!$C$5:$C$17)</f>
        <v>33040</v>
      </c>
      <c r="N539" s="11" t="n">
        <f aca="false">IF(H539&lt;0,-1E+099,A539-E539-M539+J539+(E539+F539)*Calculator!$B$9)</f>
        <v>355740</v>
      </c>
      <c r="O539" s="2"/>
      <c r="P539" s="11" t="n">
        <f aca="false">526*$B$3</f>
        <v>263000</v>
      </c>
      <c r="Q539" s="11" t="n">
        <f aca="false">MIN(P539,'Tax Tables'!$B$31*'Tax Tables'!$B$32)</f>
        <v>96000</v>
      </c>
      <c r="R539" s="11" t="n">
        <f aca="false">P539-Q539</f>
        <v>167000</v>
      </c>
      <c r="S539" s="11" t="n">
        <f aca="false">IF(Calculator!$B$6="Yes",MIN(Q539,'Tax Tables'!$B$31*'Tax Tables'!$B$32),0)</f>
        <v>96000</v>
      </c>
      <c r="T539" s="11" t="n">
        <f aca="false">S539*Calculator!$B$7</f>
        <v>19200</v>
      </c>
      <c r="U539" s="11" t="n">
        <f aca="false">S539*Calculator!$B$8</f>
        <v>16320</v>
      </c>
      <c r="V539" s="11" t="n">
        <f aca="false">IF(Q539&gt;0,'Tax Tables'!$B$32*MIN(MAX(Q539/'Tax Tables'!$B$32*'Tax Tables'!$B$33,'Tax Tables'!$B$34),'Tax Tables'!$B$35),0)</f>
        <v>135</v>
      </c>
      <c r="W539" s="11" t="n">
        <f aca="false">Calculator!$B$5-P539-U539-V539</f>
        <v>120545</v>
      </c>
      <c r="X539" s="11" t="n">
        <f aca="false">'Tax Tables'!$B$22*(MAX(W539,0)-IF(Calculator!$B$10="Yes",MIN(MAX(W539,0),'Tax Tables'!$B$27)*'Tax Tables'!$B$28+MIN(MAX(MAX(W539,0)-'Tax Tables'!$B$27,0),'Tax Tables'!$B$29)*'Tax Tables'!$B$30,MIN(MAX(W539,0),'Tax Tables'!$B$23)*'Tax Tables'!$B$24+MIN(MAX(MAX(W539,0)-'Tax Tables'!$B$23,0),'Tax Tables'!$B$25)*'Tax Tables'!$B$26))*1-MIN('Tax Tables'!$B$22*(MAX(W539,0)-IF(Calculator!$B$10="Yes",MIN(MAX(W539,0),'Tax Tables'!$B$27)*'Tax Tables'!$B$28+MIN(MAX(MAX(W539,0)-'Tax Tables'!$B$27,0),'Tax Tables'!$B$29)*'Tax Tables'!$B$30,MIN(MAX(W539,0),'Tax Tables'!$B$23)*'Tax Tables'!$B$24+MIN(MAX(MAX(W539,0)-'Tax Tables'!$B$23,0),'Tax Tables'!$B$25)*'Tax Tables'!$B$26))*Calculator!$B$11,Calculator!$B$12)</f>
        <v>9821.325</v>
      </c>
      <c r="Y539" s="11" t="n">
        <f aca="false">MAX(W539,0)-X539</f>
        <v>110723.675</v>
      </c>
      <c r="Z539" s="11" t="n">
        <f aca="false">MIN(IF(P539&gt;0,Calculator!$B$13,0)+T539+Calculator!$B$14,'Tax Tables'!$B$36)</f>
        <v>20200</v>
      </c>
      <c r="AA539" s="11" t="n">
        <f aca="false">MAX(P539-Z539,0)</f>
        <v>242800</v>
      </c>
      <c r="AB539" s="11" t="n">
        <f aca="false">SUMPRODUCT((AA539&gt;'Tax Tables'!$A$5:$A$17)*(AA539-'Tax Tables'!$A$5:$A$17)*'Tax Tables'!$C$5:$C$17)</f>
        <v>29296</v>
      </c>
      <c r="AC539" s="11" t="n">
        <f aca="false">IF(W539&lt;0,-1E+099,P539-T539-AB539+Y539+(T539+U539)*Calculator!$B$9)</f>
        <v>360747.675</v>
      </c>
    </row>
    <row r="540" customFormat="false" ht="15" hidden="false" customHeight="false" outlineLevel="0" collapsed="false">
      <c r="A540" s="11" t="n">
        <f aca="false">527*$B$3</f>
        <v>263500</v>
      </c>
      <c r="B540" s="11" t="n">
        <f aca="false">0</f>
        <v>0</v>
      </c>
      <c r="C540" s="11" t="n">
        <f aca="false">A540-B540</f>
        <v>263500</v>
      </c>
      <c r="D540" s="11" t="n">
        <f aca="false">IF(Calculator!$B$6="Yes",MIN(B540,'Tax Tables'!$B$31*'Tax Tables'!$B$32),0)</f>
        <v>0</v>
      </c>
      <c r="E540" s="11" t="n">
        <f aca="false">D540*Calculator!$B$7</f>
        <v>0</v>
      </c>
      <c r="F540" s="11" t="n">
        <f aca="false">D540*Calculator!$B$8</f>
        <v>0</v>
      </c>
      <c r="G540" s="11" t="n">
        <f aca="false">IF(B540&gt;0,'Tax Tables'!$B$32*MIN(MAX(B540/'Tax Tables'!$B$32*'Tax Tables'!$B$33,'Tax Tables'!$B$34),'Tax Tables'!$B$35),0)</f>
        <v>0</v>
      </c>
      <c r="H540" s="11" t="n">
        <f aca="false">Calculator!$B$5-A540-F540-G540</f>
        <v>136500</v>
      </c>
      <c r="I540" s="11" t="n">
        <f aca="false">'Tax Tables'!$B$22*(MAX(H540,0)-IF(Calculator!$B$10="Yes",MIN(MAX(H540,0),'Tax Tables'!$B$27)*'Tax Tables'!$B$28+MIN(MAX(MAX(H540,0)-'Tax Tables'!$B$27,0),'Tax Tables'!$B$29)*'Tax Tables'!$B$30,MIN(MAX(H540,0),'Tax Tables'!$B$23)*'Tax Tables'!$B$24+MIN(MAX(MAX(H540,0)-'Tax Tables'!$B$23,0),'Tax Tables'!$B$25)*'Tax Tables'!$B$26))*1-MIN('Tax Tables'!$B$22*(MAX(H540,0)-IF(Calculator!$B$10="Yes",MIN(MAX(H540,0),'Tax Tables'!$B$27)*'Tax Tables'!$B$28+MIN(MAX(MAX(H540,0)-'Tax Tables'!$B$27,0),'Tax Tables'!$B$29)*'Tax Tables'!$B$30,MIN(MAX(H540,0),'Tax Tables'!$B$23)*'Tax Tables'!$B$24+MIN(MAX(MAX(H540,0)-'Tax Tables'!$B$23,0),'Tax Tables'!$B$25)*'Tax Tables'!$B$26))*Calculator!$B$11,Calculator!$B$12)</f>
        <v>11177.5</v>
      </c>
      <c r="J540" s="11" t="n">
        <f aca="false">MAX(H540,0)-I540</f>
        <v>125322.5</v>
      </c>
      <c r="K540" s="11" t="n">
        <f aca="false">MIN(IF(A540&gt;0,Calculator!$B$13,0)+E540+Calculator!$B$14,'Tax Tables'!$B$36)</f>
        <v>1000</v>
      </c>
      <c r="L540" s="11" t="n">
        <f aca="false">MAX(A540-K540,0)</f>
        <v>262500</v>
      </c>
      <c r="M540" s="11" t="n">
        <f aca="false">SUMPRODUCT((L540&gt;'Tax Tables'!$A$5:$A$17)*(L540-'Tax Tables'!$A$5:$A$17)*'Tax Tables'!$C$5:$C$17)</f>
        <v>33137.5</v>
      </c>
      <c r="N540" s="11" t="n">
        <f aca="false">IF(H540&lt;0,-1E+099,A540-E540-M540+J540+(E540+F540)*Calculator!$B$9)</f>
        <v>355685</v>
      </c>
      <c r="O540" s="2"/>
      <c r="P540" s="11" t="n">
        <f aca="false">527*$B$3</f>
        <v>263500</v>
      </c>
      <c r="Q540" s="11" t="n">
        <f aca="false">MIN(P540,'Tax Tables'!$B$31*'Tax Tables'!$B$32)</f>
        <v>96000</v>
      </c>
      <c r="R540" s="11" t="n">
        <f aca="false">P540-Q540</f>
        <v>167500</v>
      </c>
      <c r="S540" s="11" t="n">
        <f aca="false">IF(Calculator!$B$6="Yes",MIN(Q540,'Tax Tables'!$B$31*'Tax Tables'!$B$32),0)</f>
        <v>96000</v>
      </c>
      <c r="T540" s="11" t="n">
        <f aca="false">S540*Calculator!$B$7</f>
        <v>19200</v>
      </c>
      <c r="U540" s="11" t="n">
        <f aca="false">S540*Calculator!$B$8</f>
        <v>16320</v>
      </c>
      <c r="V540" s="11" t="n">
        <f aca="false">IF(Q540&gt;0,'Tax Tables'!$B$32*MIN(MAX(Q540/'Tax Tables'!$B$32*'Tax Tables'!$B$33,'Tax Tables'!$B$34),'Tax Tables'!$B$35),0)</f>
        <v>135</v>
      </c>
      <c r="W540" s="11" t="n">
        <f aca="false">Calculator!$B$5-P540-U540-V540</f>
        <v>120045</v>
      </c>
      <c r="X540" s="11" t="n">
        <f aca="false">'Tax Tables'!$B$22*(MAX(W540,0)-IF(Calculator!$B$10="Yes",MIN(MAX(W540,0),'Tax Tables'!$B$27)*'Tax Tables'!$B$28+MIN(MAX(MAX(W540,0)-'Tax Tables'!$B$27,0),'Tax Tables'!$B$29)*'Tax Tables'!$B$30,MIN(MAX(W540,0),'Tax Tables'!$B$23)*'Tax Tables'!$B$24+MIN(MAX(MAX(W540,0)-'Tax Tables'!$B$23,0),'Tax Tables'!$B$25)*'Tax Tables'!$B$26))*1-MIN('Tax Tables'!$B$22*(MAX(W540,0)-IF(Calculator!$B$10="Yes",MIN(MAX(W540,0),'Tax Tables'!$B$27)*'Tax Tables'!$B$28+MIN(MAX(MAX(W540,0)-'Tax Tables'!$B$27,0),'Tax Tables'!$B$29)*'Tax Tables'!$B$30,MIN(MAX(W540,0),'Tax Tables'!$B$23)*'Tax Tables'!$B$24+MIN(MAX(MAX(W540,0)-'Tax Tables'!$B$23,0),'Tax Tables'!$B$25)*'Tax Tables'!$B$26))*Calculator!$B$11,Calculator!$B$12)</f>
        <v>9778.825</v>
      </c>
      <c r="Y540" s="11" t="n">
        <f aca="false">MAX(W540,0)-X540</f>
        <v>110266.175</v>
      </c>
      <c r="Z540" s="11" t="n">
        <f aca="false">MIN(IF(P540&gt;0,Calculator!$B$13,0)+T540+Calculator!$B$14,'Tax Tables'!$B$36)</f>
        <v>20200</v>
      </c>
      <c r="AA540" s="11" t="n">
        <f aca="false">MAX(P540-Z540,0)</f>
        <v>243300</v>
      </c>
      <c r="AB540" s="11" t="n">
        <f aca="false">SUMPRODUCT((AA540&gt;'Tax Tables'!$A$5:$A$17)*(AA540-'Tax Tables'!$A$5:$A$17)*'Tax Tables'!$C$5:$C$17)</f>
        <v>29393.5</v>
      </c>
      <c r="AC540" s="11" t="n">
        <f aca="false">IF(W540&lt;0,-1E+099,P540-T540-AB540+Y540+(T540+U540)*Calculator!$B$9)</f>
        <v>360692.675</v>
      </c>
    </row>
    <row r="541" customFormat="false" ht="15" hidden="false" customHeight="false" outlineLevel="0" collapsed="false">
      <c r="A541" s="11" t="n">
        <f aca="false">528*$B$3</f>
        <v>264000</v>
      </c>
      <c r="B541" s="11" t="n">
        <f aca="false">0</f>
        <v>0</v>
      </c>
      <c r="C541" s="11" t="n">
        <f aca="false">A541-B541</f>
        <v>264000</v>
      </c>
      <c r="D541" s="11" t="n">
        <f aca="false">IF(Calculator!$B$6="Yes",MIN(B541,'Tax Tables'!$B$31*'Tax Tables'!$B$32),0)</f>
        <v>0</v>
      </c>
      <c r="E541" s="11" t="n">
        <f aca="false">D541*Calculator!$B$7</f>
        <v>0</v>
      </c>
      <c r="F541" s="11" t="n">
        <f aca="false">D541*Calculator!$B$8</f>
        <v>0</v>
      </c>
      <c r="G541" s="11" t="n">
        <f aca="false">IF(B541&gt;0,'Tax Tables'!$B$32*MIN(MAX(B541/'Tax Tables'!$B$32*'Tax Tables'!$B$33,'Tax Tables'!$B$34),'Tax Tables'!$B$35),0)</f>
        <v>0</v>
      </c>
      <c r="H541" s="11" t="n">
        <f aca="false">Calculator!$B$5-A541-F541-G541</f>
        <v>136000</v>
      </c>
      <c r="I541" s="11" t="n">
        <f aca="false">'Tax Tables'!$B$22*(MAX(H541,0)-IF(Calculator!$B$10="Yes",MIN(MAX(H541,0),'Tax Tables'!$B$27)*'Tax Tables'!$B$28+MIN(MAX(MAX(H541,0)-'Tax Tables'!$B$27,0),'Tax Tables'!$B$29)*'Tax Tables'!$B$30,MIN(MAX(H541,0),'Tax Tables'!$B$23)*'Tax Tables'!$B$24+MIN(MAX(MAX(H541,0)-'Tax Tables'!$B$23,0),'Tax Tables'!$B$25)*'Tax Tables'!$B$26))*1-MIN('Tax Tables'!$B$22*(MAX(H541,0)-IF(Calculator!$B$10="Yes",MIN(MAX(H541,0),'Tax Tables'!$B$27)*'Tax Tables'!$B$28+MIN(MAX(MAX(H541,0)-'Tax Tables'!$B$27,0),'Tax Tables'!$B$29)*'Tax Tables'!$B$30,MIN(MAX(H541,0),'Tax Tables'!$B$23)*'Tax Tables'!$B$24+MIN(MAX(MAX(H541,0)-'Tax Tables'!$B$23,0),'Tax Tables'!$B$25)*'Tax Tables'!$B$26))*Calculator!$B$11,Calculator!$B$12)</f>
        <v>11135</v>
      </c>
      <c r="J541" s="11" t="n">
        <f aca="false">MAX(H541,0)-I541</f>
        <v>124865</v>
      </c>
      <c r="K541" s="11" t="n">
        <f aca="false">MIN(IF(A541&gt;0,Calculator!$B$13,0)+E541+Calculator!$B$14,'Tax Tables'!$B$36)</f>
        <v>1000</v>
      </c>
      <c r="L541" s="11" t="n">
        <f aca="false">MAX(A541-K541,0)</f>
        <v>263000</v>
      </c>
      <c r="M541" s="11" t="n">
        <f aca="false">SUMPRODUCT((L541&gt;'Tax Tables'!$A$5:$A$17)*(L541-'Tax Tables'!$A$5:$A$17)*'Tax Tables'!$C$5:$C$17)</f>
        <v>33235</v>
      </c>
      <c r="N541" s="11" t="n">
        <f aca="false">IF(H541&lt;0,-1E+099,A541-E541-M541+J541+(E541+F541)*Calculator!$B$9)</f>
        <v>355630</v>
      </c>
      <c r="O541" s="2"/>
      <c r="P541" s="11" t="n">
        <f aca="false">528*$B$3</f>
        <v>264000</v>
      </c>
      <c r="Q541" s="11" t="n">
        <f aca="false">MIN(P541,'Tax Tables'!$B$31*'Tax Tables'!$B$32)</f>
        <v>96000</v>
      </c>
      <c r="R541" s="11" t="n">
        <f aca="false">P541-Q541</f>
        <v>168000</v>
      </c>
      <c r="S541" s="11" t="n">
        <f aca="false">IF(Calculator!$B$6="Yes",MIN(Q541,'Tax Tables'!$B$31*'Tax Tables'!$B$32),0)</f>
        <v>96000</v>
      </c>
      <c r="T541" s="11" t="n">
        <f aca="false">S541*Calculator!$B$7</f>
        <v>19200</v>
      </c>
      <c r="U541" s="11" t="n">
        <f aca="false">S541*Calculator!$B$8</f>
        <v>16320</v>
      </c>
      <c r="V541" s="11" t="n">
        <f aca="false">IF(Q541&gt;0,'Tax Tables'!$B$32*MIN(MAX(Q541/'Tax Tables'!$B$32*'Tax Tables'!$B$33,'Tax Tables'!$B$34),'Tax Tables'!$B$35),0)</f>
        <v>135</v>
      </c>
      <c r="W541" s="11" t="n">
        <f aca="false">Calculator!$B$5-P541-U541-V541</f>
        <v>119545</v>
      </c>
      <c r="X541" s="11" t="n">
        <f aca="false">'Tax Tables'!$B$22*(MAX(W541,0)-IF(Calculator!$B$10="Yes",MIN(MAX(W541,0),'Tax Tables'!$B$27)*'Tax Tables'!$B$28+MIN(MAX(MAX(W541,0)-'Tax Tables'!$B$27,0),'Tax Tables'!$B$29)*'Tax Tables'!$B$30,MIN(MAX(W541,0),'Tax Tables'!$B$23)*'Tax Tables'!$B$24+MIN(MAX(MAX(W541,0)-'Tax Tables'!$B$23,0),'Tax Tables'!$B$25)*'Tax Tables'!$B$26))*1-MIN('Tax Tables'!$B$22*(MAX(W541,0)-IF(Calculator!$B$10="Yes",MIN(MAX(W541,0),'Tax Tables'!$B$27)*'Tax Tables'!$B$28+MIN(MAX(MAX(W541,0)-'Tax Tables'!$B$27,0),'Tax Tables'!$B$29)*'Tax Tables'!$B$30,MIN(MAX(W541,0),'Tax Tables'!$B$23)*'Tax Tables'!$B$24+MIN(MAX(MAX(W541,0)-'Tax Tables'!$B$23,0),'Tax Tables'!$B$25)*'Tax Tables'!$B$26))*Calculator!$B$11,Calculator!$B$12)</f>
        <v>9736.325</v>
      </c>
      <c r="Y541" s="11" t="n">
        <f aca="false">MAX(W541,0)-X541</f>
        <v>109808.675</v>
      </c>
      <c r="Z541" s="11" t="n">
        <f aca="false">MIN(IF(P541&gt;0,Calculator!$B$13,0)+T541+Calculator!$B$14,'Tax Tables'!$B$36)</f>
        <v>20200</v>
      </c>
      <c r="AA541" s="11" t="n">
        <f aca="false">MAX(P541-Z541,0)</f>
        <v>243800</v>
      </c>
      <c r="AB541" s="11" t="n">
        <f aca="false">SUMPRODUCT((AA541&gt;'Tax Tables'!$A$5:$A$17)*(AA541-'Tax Tables'!$A$5:$A$17)*'Tax Tables'!$C$5:$C$17)</f>
        <v>29491</v>
      </c>
      <c r="AC541" s="11" t="n">
        <f aca="false">IF(W541&lt;0,-1E+099,P541-T541-AB541+Y541+(T541+U541)*Calculator!$B$9)</f>
        <v>360637.675</v>
      </c>
    </row>
    <row r="542" customFormat="false" ht="15" hidden="false" customHeight="false" outlineLevel="0" collapsed="false">
      <c r="A542" s="11" t="n">
        <f aca="false">529*$B$3</f>
        <v>264500</v>
      </c>
      <c r="B542" s="11" t="n">
        <f aca="false">0</f>
        <v>0</v>
      </c>
      <c r="C542" s="11" t="n">
        <f aca="false">A542-B542</f>
        <v>264500</v>
      </c>
      <c r="D542" s="11" t="n">
        <f aca="false">IF(Calculator!$B$6="Yes",MIN(B542,'Tax Tables'!$B$31*'Tax Tables'!$B$32),0)</f>
        <v>0</v>
      </c>
      <c r="E542" s="11" t="n">
        <f aca="false">D542*Calculator!$B$7</f>
        <v>0</v>
      </c>
      <c r="F542" s="11" t="n">
        <f aca="false">D542*Calculator!$B$8</f>
        <v>0</v>
      </c>
      <c r="G542" s="11" t="n">
        <f aca="false">IF(B542&gt;0,'Tax Tables'!$B$32*MIN(MAX(B542/'Tax Tables'!$B$32*'Tax Tables'!$B$33,'Tax Tables'!$B$34),'Tax Tables'!$B$35),0)</f>
        <v>0</v>
      </c>
      <c r="H542" s="11" t="n">
        <f aca="false">Calculator!$B$5-A542-F542-G542</f>
        <v>135500</v>
      </c>
      <c r="I542" s="11" t="n">
        <f aca="false">'Tax Tables'!$B$22*(MAX(H542,0)-IF(Calculator!$B$10="Yes",MIN(MAX(H542,0),'Tax Tables'!$B$27)*'Tax Tables'!$B$28+MIN(MAX(MAX(H542,0)-'Tax Tables'!$B$27,0),'Tax Tables'!$B$29)*'Tax Tables'!$B$30,MIN(MAX(H542,0),'Tax Tables'!$B$23)*'Tax Tables'!$B$24+MIN(MAX(MAX(H542,0)-'Tax Tables'!$B$23,0),'Tax Tables'!$B$25)*'Tax Tables'!$B$26))*1-MIN('Tax Tables'!$B$22*(MAX(H542,0)-IF(Calculator!$B$10="Yes",MIN(MAX(H542,0),'Tax Tables'!$B$27)*'Tax Tables'!$B$28+MIN(MAX(MAX(H542,0)-'Tax Tables'!$B$27,0),'Tax Tables'!$B$29)*'Tax Tables'!$B$30,MIN(MAX(H542,0),'Tax Tables'!$B$23)*'Tax Tables'!$B$24+MIN(MAX(MAX(H542,0)-'Tax Tables'!$B$23,0),'Tax Tables'!$B$25)*'Tax Tables'!$B$26))*Calculator!$B$11,Calculator!$B$12)</f>
        <v>11092.5</v>
      </c>
      <c r="J542" s="11" t="n">
        <f aca="false">MAX(H542,0)-I542</f>
        <v>124407.5</v>
      </c>
      <c r="K542" s="11" t="n">
        <f aca="false">MIN(IF(A542&gt;0,Calculator!$B$13,0)+E542+Calculator!$B$14,'Tax Tables'!$B$36)</f>
        <v>1000</v>
      </c>
      <c r="L542" s="11" t="n">
        <f aca="false">MAX(A542-K542,0)</f>
        <v>263500</v>
      </c>
      <c r="M542" s="11" t="n">
        <f aca="false">SUMPRODUCT((L542&gt;'Tax Tables'!$A$5:$A$17)*(L542-'Tax Tables'!$A$5:$A$17)*'Tax Tables'!$C$5:$C$17)</f>
        <v>33332.5</v>
      </c>
      <c r="N542" s="11" t="n">
        <f aca="false">IF(H542&lt;0,-1E+099,A542-E542-M542+J542+(E542+F542)*Calculator!$B$9)</f>
        <v>355575</v>
      </c>
      <c r="O542" s="2"/>
      <c r="P542" s="11" t="n">
        <f aca="false">529*$B$3</f>
        <v>264500</v>
      </c>
      <c r="Q542" s="11" t="n">
        <f aca="false">MIN(P542,'Tax Tables'!$B$31*'Tax Tables'!$B$32)</f>
        <v>96000</v>
      </c>
      <c r="R542" s="11" t="n">
        <f aca="false">P542-Q542</f>
        <v>168500</v>
      </c>
      <c r="S542" s="11" t="n">
        <f aca="false">IF(Calculator!$B$6="Yes",MIN(Q542,'Tax Tables'!$B$31*'Tax Tables'!$B$32),0)</f>
        <v>96000</v>
      </c>
      <c r="T542" s="11" t="n">
        <f aca="false">S542*Calculator!$B$7</f>
        <v>19200</v>
      </c>
      <c r="U542" s="11" t="n">
        <f aca="false">S542*Calculator!$B$8</f>
        <v>16320</v>
      </c>
      <c r="V542" s="11" t="n">
        <f aca="false">IF(Q542&gt;0,'Tax Tables'!$B$32*MIN(MAX(Q542/'Tax Tables'!$B$32*'Tax Tables'!$B$33,'Tax Tables'!$B$34),'Tax Tables'!$B$35),0)</f>
        <v>135</v>
      </c>
      <c r="W542" s="11" t="n">
        <f aca="false">Calculator!$B$5-P542-U542-V542</f>
        <v>119045</v>
      </c>
      <c r="X542" s="11" t="n">
        <f aca="false">'Tax Tables'!$B$22*(MAX(W542,0)-IF(Calculator!$B$10="Yes",MIN(MAX(W542,0),'Tax Tables'!$B$27)*'Tax Tables'!$B$28+MIN(MAX(MAX(W542,0)-'Tax Tables'!$B$27,0),'Tax Tables'!$B$29)*'Tax Tables'!$B$30,MIN(MAX(W542,0),'Tax Tables'!$B$23)*'Tax Tables'!$B$24+MIN(MAX(MAX(W542,0)-'Tax Tables'!$B$23,0),'Tax Tables'!$B$25)*'Tax Tables'!$B$26))*1-MIN('Tax Tables'!$B$22*(MAX(W542,0)-IF(Calculator!$B$10="Yes",MIN(MAX(W542,0),'Tax Tables'!$B$27)*'Tax Tables'!$B$28+MIN(MAX(MAX(W542,0)-'Tax Tables'!$B$27,0),'Tax Tables'!$B$29)*'Tax Tables'!$B$30,MIN(MAX(W542,0),'Tax Tables'!$B$23)*'Tax Tables'!$B$24+MIN(MAX(MAX(W542,0)-'Tax Tables'!$B$23,0),'Tax Tables'!$B$25)*'Tax Tables'!$B$26))*Calculator!$B$11,Calculator!$B$12)</f>
        <v>9693.825</v>
      </c>
      <c r="Y542" s="11" t="n">
        <f aca="false">MAX(W542,0)-X542</f>
        <v>109351.175</v>
      </c>
      <c r="Z542" s="11" t="n">
        <f aca="false">MIN(IF(P542&gt;0,Calculator!$B$13,0)+T542+Calculator!$B$14,'Tax Tables'!$B$36)</f>
        <v>20200</v>
      </c>
      <c r="AA542" s="11" t="n">
        <f aca="false">MAX(P542-Z542,0)</f>
        <v>244300</v>
      </c>
      <c r="AB542" s="11" t="n">
        <f aca="false">SUMPRODUCT((AA542&gt;'Tax Tables'!$A$5:$A$17)*(AA542-'Tax Tables'!$A$5:$A$17)*'Tax Tables'!$C$5:$C$17)</f>
        <v>29588.5</v>
      </c>
      <c r="AC542" s="11" t="n">
        <f aca="false">IF(W542&lt;0,-1E+099,P542-T542-AB542+Y542+(T542+U542)*Calculator!$B$9)</f>
        <v>360582.675</v>
      </c>
    </row>
    <row r="543" customFormat="false" ht="15" hidden="false" customHeight="false" outlineLevel="0" collapsed="false">
      <c r="A543" s="11" t="n">
        <f aca="false">530*$B$3</f>
        <v>265000</v>
      </c>
      <c r="B543" s="11" t="n">
        <f aca="false">0</f>
        <v>0</v>
      </c>
      <c r="C543" s="11" t="n">
        <f aca="false">A543-B543</f>
        <v>265000</v>
      </c>
      <c r="D543" s="11" t="n">
        <f aca="false">IF(Calculator!$B$6="Yes",MIN(B543,'Tax Tables'!$B$31*'Tax Tables'!$B$32),0)</f>
        <v>0</v>
      </c>
      <c r="E543" s="11" t="n">
        <f aca="false">D543*Calculator!$B$7</f>
        <v>0</v>
      </c>
      <c r="F543" s="11" t="n">
        <f aca="false">D543*Calculator!$B$8</f>
        <v>0</v>
      </c>
      <c r="G543" s="11" t="n">
        <f aca="false">IF(B543&gt;0,'Tax Tables'!$B$32*MIN(MAX(B543/'Tax Tables'!$B$32*'Tax Tables'!$B$33,'Tax Tables'!$B$34),'Tax Tables'!$B$35),0)</f>
        <v>0</v>
      </c>
      <c r="H543" s="11" t="n">
        <f aca="false">Calculator!$B$5-A543-F543-G543</f>
        <v>135000</v>
      </c>
      <c r="I543" s="11" t="n">
        <f aca="false">'Tax Tables'!$B$22*(MAX(H543,0)-IF(Calculator!$B$10="Yes",MIN(MAX(H543,0),'Tax Tables'!$B$27)*'Tax Tables'!$B$28+MIN(MAX(MAX(H543,0)-'Tax Tables'!$B$27,0),'Tax Tables'!$B$29)*'Tax Tables'!$B$30,MIN(MAX(H543,0),'Tax Tables'!$B$23)*'Tax Tables'!$B$24+MIN(MAX(MAX(H543,0)-'Tax Tables'!$B$23,0),'Tax Tables'!$B$25)*'Tax Tables'!$B$26))*1-MIN('Tax Tables'!$B$22*(MAX(H543,0)-IF(Calculator!$B$10="Yes",MIN(MAX(H543,0),'Tax Tables'!$B$27)*'Tax Tables'!$B$28+MIN(MAX(MAX(H543,0)-'Tax Tables'!$B$27,0),'Tax Tables'!$B$29)*'Tax Tables'!$B$30,MIN(MAX(H543,0),'Tax Tables'!$B$23)*'Tax Tables'!$B$24+MIN(MAX(MAX(H543,0)-'Tax Tables'!$B$23,0),'Tax Tables'!$B$25)*'Tax Tables'!$B$26))*Calculator!$B$11,Calculator!$B$12)</f>
        <v>11050</v>
      </c>
      <c r="J543" s="11" t="n">
        <f aca="false">MAX(H543,0)-I543</f>
        <v>123950</v>
      </c>
      <c r="K543" s="11" t="n">
        <f aca="false">MIN(IF(A543&gt;0,Calculator!$B$13,0)+E543+Calculator!$B$14,'Tax Tables'!$B$36)</f>
        <v>1000</v>
      </c>
      <c r="L543" s="11" t="n">
        <f aca="false">MAX(A543-K543,0)</f>
        <v>264000</v>
      </c>
      <c r="M543" s="11" t="n">
        <f aca="false">SUMPRODUCT((L543&gt;'Tax Tables'!$A$5:$A$17)*(L543-'Tax Tables'!$A$5:$A$17)*'Tax Tables'!$C$5:$C$17)</f>
        <v>33430</v>
      </c>
      <c r="N543" s="11" t="n">
        <f aca="false">IF(H543&lt;0,-1E+099,A543-E543-M543+J543+(E543+F543)*Calculator!$B$9)</f>
        <v>355520</v>
      </c>
      <c r="O543" s="2"/>
      <c r="P543" s="11" t="n">
        <f aca="false">530*$B$3</f>
        <v>265000</v>
      </c>
      <c r="Q543" s="11" t="n">
        <f aca="false">MIN(P543,'Tax Tables'!$B$31*'Tax Tables'!$B$32)</f>
        <v>96000</v>
      </c>
      <c r="R543" s="11" t="n">
        <f aca="false">P543-Q543</f>
        <v>169000</v>
      </c>
      <c r="S543" s="11" t="n">
        <f aca="false">IF(Calculator!$B$6="Yes",MIN(Q543,'Tax Tables'!$B$31*'Tax Tables'!$B$32),0)</f>
        <v>96000</v>
      </c>
      <c r="T543" s="11" t="n">
        <f aca="false">S543*Calculator!$B$7</f>
        <v>19200</v>
      </c>
      <c r="U543" s="11" t="n">
        <f aca="false">S543*Calculator!$B$8</f>
        <v>16320</v>
      </c>
      <c r="V543" s="11" t="n">
        <f aca="false">IF(Q543&gt;0,'Tax Tables'!$B$32*MIN(MAX(Q543/'Tax Tables'!$B$32*'Tax Tables'!$B$33,'Tax Tables'!$B$34),'Tax Tables'!$B$35),0)</f>
        <v>135</v>
      </c>
      <c r="W543" s="11" t="n">
        <f aca="false">Calculator!$B$5-P543-U543-V543</f>
        <v>118545</v>
      </c>
      <c r="X543" s="11" t="n">
        <f aca="false">'Tax Tables'!$B$22*(MAX(W543,0)-IF(Calculator!$B$10="Yes",MIN(MAX(W543,0),'Tax Tables'!$B$27)*'Tax Tables'!$B$28+MIN(MAX(MAX(W543,0)-'Tax Tables'!$B$27,0),'Tax Tables'!$B$29)*'Tax Tables'!$B$30,MIN(MAX(W543,0),'Tax Tables'!$B$23)*'Tax Tables'!$B$24+MIN(MAX(MAX(W543,0)-'Tax Tables'!$B$23,0),'Tax Tables'!$B$25)*'Tax Tables'!$B$26))*1-MIN('Tax Tables'!$B$22*(MAX(W543,0)-IF(Calculator!$B$10="Yes",MIN(MAX(W543,0),'Tax Tables'!$B$27)*'Tax Tables'!$B$28+MIN(MAX(MAX(W543,0)-'Tax Tables'!$B$27,0),'Tax Tables'!$B$29)*'Tax Tables'!$B$30,MIN(MAX(W543,0),'Tax Tables'!$B$23)*'Tax Tables'!$B$24+MIN(MAX(MAX(W543,0)-'Tax Tables'!$B$23,0),'Tax Tables'!$B$25)*'Tax Tables'!$B$26))*Calculator!$B$11,Calculator!$B$12)</f>
        <v>9651.325</v>
      </c>
      <c r="Y543" s="11" t="n">
        <f aca="false">MAX(W543,0)-X543</f>
        <v>108893.675</v>
      </c>
      <c r="Z543" s="11" t="n">
        <f aca="false">MIN(IF(P543&gt;0,Calculator!$B$13,0)+T543+Calculator!$B$14,'Tax Tables'!$B$36)</f>
        <v>20200</v>
      </c>
      <c r="AA543" s="11" t="n">
        <f aca="false">MAX(P543-Z543,0)</f>
        <v>244800</v>
      </c>
      <c r="AB543" s="11" t="n">
        <f aca="false">SUMPRODUCT((AA543&gt;'Tax Tables'!$A$5:$A$17)*(AA543-'Tax Tables'!$A$5:$A$17)*'Tax Tables'!$C$5:$C$17)</f>
        <v>29686</v>
      </c>
      <c r="AC543" s="11" t="n">
        <f aca="false">IF(W543&lt;0,-1E+099,P543-T543-AB543+Y543+(T543+U543)*Calculator!$B$9)</f>
        <v>360527.675</v>
      </c>
    </row>
    <row r="544" customFormat="false" ht="15" hidden="false" customHeight="false" outlineLevel="0" collapsed="false">
      <c r="A544" s="11" t="n">
        <f aca="false">531*$B$3</f>
        <v>265500</v>
      </c>
      <c r="B544" s="11" t="n">
        <f aca="false">0</f>
        <v>0</v>
      </c>
      <c r="C544" s="11" t="n">
        <f aca="false">A544-B544</f>
        <v>265500</v>
      </c>
      <c r="D544" s="11" t="n">
        <f aca="false">IF(Calculator!$B$6="Yes",MIN(B544,'Tax Tables'!$B$31*'Tax Tables'!$B$32),0)</f>
        <v>0</v>
      </c>
      <c r="E544" s="11" t="n">
        <f aca="false">D544*Calculator!$B$7</f>
        <v>0</v>
      </c>
      <c r="F544" s="11" t="n">
        <f aca="false">D544*Calculator!$B$8</f>
        <v>0</v>
      </c>
      <c r="G544" s="11" t="n">
        <f aca="false">IF(B544&gt;0,'Tax Tables'!$B$32*MIN(MAX(B544/'Tax Tables'!$B$32*'Tax Tables'!$B$33,'Tax Tables'!$B$34),'Tax Tables'!$B$35),0)</f>
        <v>0</v>
      </c>
      <c r="H544" s="11" t="n">
        <f aca="false">Calculator!$B$5-A544-F544-G544</f>
        <v>134500</v>
      </c>
      <c r="I544" s="11" t="n">
        <f aca="false">'Tax Tables'!$B$22*(MAX(H544,0)-IF(Calculator!$B$10="Yes",MIN(MAX(H544,0),'Tax Tables'!$B$27)*'Tax Tables'!$B$28+MIN(MAX(MAX(H544,0)-'Tax Tables'!$B$27,0),'Tax Tables'!$B$29)*'Tax Tables'!$B$30,MIN(MAX(H544,0),'Tax Tables'!$B$23)*'Tax Tables'!$B$24+MIN(MAX(MAX(H544,0)-'Tax Tables'!$B$23,0),'Tax Tables'!$B$25)*'Tax Tables'!$B$26))*1-MIN('Tax Tables'!$B$22*(MAX(H544,0)-IF(Calculator!$B$10="Yes",MIN(MAX(H544,0),'Tax Tables'!$B$27)*'Tax Tables'!$B$28+MIN(MAX(MAX(H544,0)-'Tax Tables'!$B$27,0),'Tax Tables'!$B$29)*'Tax Tables'!$B$30,MIN(MAX(H544,0),'Tax Tables'!$B$23)*'Tax Tables'!$B$24+MIN(MAX(MAX(H544,0)-'Tax Tables'!$B$23,0),'Tax Tables'!$B$25)*'Tax Tables'!$B$26))*Calculator!$B$11,Calculator!$B$12)</f>
        <v>11007.5</v>
      </c>
      <c r="J544" s="11" t="n">
        <f aca="false">MAX(H544,0)-I544</f>
        <v>123492.5</v>
      </c>
      <c r="K544" s="11" t="n">
        <f aca="false">MIN(IF(A544&gt;0,Calculator!$B$13,0)+E544+Calculator!$B$14,'Tax Tables'!$B$36)</f>
        <v>1000</v>
      </c>
      <c r="L544" s="11" t="n">
        <f aca="false">MAX(A544-K544,0)</f>
        <v>264500</v>
      </c>
      <c r="M544" s="11" t="n">
        <f aca="false">SUMPRODUCT((L544&gt;'Tax Tables'!$A$5:$A$17)*(L544-'Tax Tables'!$A$5:$A$17)*'Tax Tables'!$C$5:$C$17)</f>
        <v>33527.5</v>
      </c>
      <c r="N544" s="11" t="n">
        <f aca="false">IF(H544&lt;0,-1E+099,A544-E544-M544+J544+(E544+F544)*Calculator!$B$9)</f>
        <v>355465</v>
      </c>
      <c r="O544" s="2"/>
      <c r="P544" s="11" t="n">
        <f aca="false">531*$B$3</f>
        <v>265500</v>
      </c>
      <c r="Q544" s="11" t="n">
        <f aca="false">MIN(P544,'Tax Tables'!$B$31*'Tax Tables'!$B$32)</f>
        <v>96000</v>
      </c>
      <c r="R544" s="11" t="n">
        <f aca="false">P544-Q544</f>
        <v>169500</v>
      </c>
      <c r="S544" s="11" t="n">
        <f aca="false">IF(Calculator!$B$6="Yes",MIN(Q544,'Tax Tables'!$B$31*'Tax Tables'!$B$32),0)</f>
        <v>96000</v>
      </c>
      <c r="T544" s="11" t="n">
        <f aca="false">S544*Calculator!$B$7</f>
        <v>19200</v>
      </c>
      <c r="U544" s="11" t="n">
        <f aca="false">S544*Calculator!$B$8</f>
        <v>16320</v>
      </c>
      <c r="V544" s="11" t="n">
        <f aca="false">IF(Q544&gt;0,'Tax Tables'!$B$32*MIN(MAX(Q544/'Tax Tables'!$B$32*'Tax Tables'!$B$33,'Tax Tables'!$B$34),'Tax Tables'!$B$35),0)</f>
        <v>135</v>
      </c>
      <c r="W544" s="11" t="n">
        <f aca="false">Calculator!$B$5-P544-U544-V544</f>
        <v>118045</v>
      </c>
      <c r="X544" s="11" t="n">
        <f aca="false">'Tax Tables'!$B$22*(MAX(W544,0)-IF(Calculator!$B$10="Yes",MIN(MAX(W544,0),'Tax Tables'!$B$27)*'Tax Tables'!$B$28+MIN(MAX(MAX(W544,0)-'Tax Tables'!$B$27,0),'Tax Tables'!$B$29)*'Tax Tables'!$B$30,MIN(MAX(W544,0),'Tax Tables'!$B$23)*'Tax Tables'!$B$24+MIN(MAX(MAX(W544,0)-'Tax Tables'!$B$23,0),'Tax Tables'!$B$25)*'Tax Tables'!$B$26))*1-MIN('Tax Tables'!$B$22*(MAX(W544,0)-IF(Calculator!$B$10="Yes",MIN(MAX(W544,0),'Tax Tables'!$B$27)*'Tax Tables'!$B$28+MIN(MAX(MAX(W544,0)-'Tax Tables'!$B$27,0),'Tax Tables'!$B$29)*'Tax Tables'!$B$30,MIN(MAX(W544,0),'Tax Tables'!$B$23)*'Tax Tables'!$B$24+MIN(MAX(MAX(W544,0)-'Tax Tables'!$B$23,0),'Tax Tables'!$B$25)*'Tax Tables'!$B$26))*Calculator!$B$11,Calculator!$B$12)</f>
        <v>9608.825</v>
      </c>
      <c r="Y544" s="11" t="n">
        <f aca="false">MAX(W544,0)-X544</f>
        <v>108436.175</v>
      </c>
      <c r="Z544" s="11" t="n">
        <f aca="false">MIN(IF(P544&gt;0,Calculator!$B$13,0)+T544+Calculator!$B$14,'Tax Tables'!$B$36)</f>
        <v>20200</v>
      </c>
      <c r="AA544" s="11" t="n">
        <f aca="false">MAX(P544-Z544,0)</f>
        <v>245300</v>
      </c>
      <c r="AB544" s="11" t="n">
        <f aca="false">SUMPRODUCT((AA544&gt;'Tax Tables'!$A$5:$A$17)*(AA544-'Tax Tables'!$A$5:$A$17)*'Tax Tables'!$C$5:$C$17)</f>
        <v>29783.5</v>
      </c>
      <c r="AC544" s="11" t="n">
        <f aca="false">IF(W544&lt;0,-1E+099,P544-T544-AB544+Y544+(T544+U544)*Calculator!$B$9)</f>
        <v>360472.675</v>
      </c>
    </row>
    <row r="545" customFormat="false" ht="15" hidden="false" customHeight="false" outlineLevel="0" collapsed="false">
      <c r="A545" s="11" t="n">
        <f aca="false">532*$B$3</f>
        <v>266000</v>
      </c>
      <c r="B545" s="11" t="n">
        <f aca="false">0</f>
        <v>0</v>
      </c>
      <c r="C545" s="11" t="n">
        <f aca="false">A545-B545</f>
        <v>266000</v>
      </c>
      <c r="D545" s="11" t="n">
        <f aca="false">IF(Calculator!$B$6="Yes",MIN(B545,'Tax Tables'!$B$31*'Tax Tables'!$B$32),0)</f>
        <v>0</v>
      </c>
      <c r="E545" s="11" t="n">
        <f aca="false">D545*Calculator!$B$7</f>
        <v>0</v>
      </c>
      <c r="F545" s="11" t="n">
        <f aca="false">D545*Calculator!$B$8</f>
        <v>0</v>
      </c>
      <c r="G545" s="11" t="n">
        <f aca="false">IF(B545&gt;0,'Tax Tables'!$B$32*MIN(MAX(B545/'Tax Tables'!$B$32*'Tax Tables'!$B$33,'Tax Tables'!$B$34),'Tax Tables'!$B$35),0)</f>
        <v>0</v>
      </c>
      <c r="H545" s="11" t="n">
        <f aca="false">Calculator!$B$5-A545-F545-G545</f>
        <v>134000</v>
      </c>
      <c r="I545" s="11" t="n">
        <f aca="false">'Tax Tables'!$B$22*(MAX(H545,0)-IF(Calculator!$B$10="Yes",MIN(MAX(H545,0),'Tax Tables'!$B$27)*'Tax Tables'!$B$28+MIN(MAX(MAX(H545,0)-'Tax Tables'!$B$27,0),'Tax Tables'!$B$29)*'Tax Tables'!$B$30,MIN(MAX(H545,0),'Tax Tables'!$B$23)*'Tax Tables'!$B$24+MIN(MAX(MAX(H545,0)-'Tax Tables'!$B$23,0),'Tax Tables'!$B$25)*'Tax Tables'!$B$26))*1-MIN('Tax Tables'!$B$22*(MAX(H545,0)-IF(Calculator!$B$10="Yes",MIN(MAX(H545,0),'Tax Tables'!$B$27)*'Tax Tables'!$B$28+MIN(MAX(MAX(H545,0)-'Tax Tables'!$B$27,0),'Tax Tables'!$B$29)*'Tax Tables'!$B$30,MIN(MAX(H545,0),'Tax Tables'!$B$23)*'Tax Tables'!$B$24+MIN(MAX(MAX(H545,0)-'Tax Tables'!$B$23,0),'Tax Tables'!$B$25)*'Tax Tables'!$B$26))*Calculator!$B$11,Calculator!$B$12)</f>
        <v>10965</v>
      </c>
      <c r="J545" s="11" t="n">
        <f aca="false">MAX(H545,0)-I545</f>
        <v>123035</v>
      </c>
      <c r="K545" s="11" t="n">
        <f aca="false">MIN(IF(A545&gt;0,Calculator!$B$13,0)+E545+Calculator!$B$14,'Tax Tables'!$B$36)</f>
        <v>1000</v>
      </c>
      <c r="L545" s="11" t="n">
        <f aca="false">MAX(A545-K545,0)</f>
        <v>265000</v>
      </c>
      <c r="M545" s="11" t="n">
        <f aca="false">SUMPRODUCT((L545&gt;'Tax Tables'!$A$5:$A$17)*(L545-'Tax Tables'!$A$5:$A$17)*'Tax Tables'!$C$5:$C$17)</f>
        <v>33625</v>
      </c>
      <c r="N545" s="11" t="n">
        <f aca="false">IF(H545&lt;0,-1E+099,A545-E545-M545+J545+(E545+F545)*Calculator!$B$9)</f>
        <v>355410</v>
      </c>
      <c r="O545" s="2"/>
      <c r="P545" s="11" t="n">
        <f aca="false">532*$B$3</f>
        <v>266000</v>
      </c>
      <c r="Q545" s="11" t="n">
        <f aca="false">MIN(P545,'Tax Tables'!$B$31*'Tax Tables'!$B$32)</f>
        <v>96000</v>
      </c>
      <c r="R545" s="11" t="n">
        <f aca="false">P545-Q545</f>
        <v>170000</v>
      </c>
      <c r="S545" s="11" t="n">
        <f aca="false">IF(Calculator!$B$6="Yes",MIN(Q545,'Tax Tables'!$B$31*'Tax Tables'!$B$32),0)</f>
        <v>96000</v>
      </c>
      <c r="T545" s="11" t="n">
        <f aca="false">S545*Calculator!$B$7</f>
        <v>19200</v>
      </c>
      <c r="U545" s="11" t="n">
        <f aca="false">S545*Calculator!$B$8</f>
        <v>16320</v>
      </c>
      <c r="V545" s="11" t="n">
        <f aca="false">IF(Q545&gt;0,'Tax Tables'!$B$32*MIN(MAX(Q545/'Tax Tables'!$B$32*'Tax Tables'!$B$33,'Tax Tables'!$B$34),'Tax Tables'!$B$35),0)</f>
        <v>135</v>
      </c>
      <c r="W545" s="11" t="n">
        <f aca="false">Calculator!$B$5-P545-U545-V545</f>
        <v>117545</v>
      </c>
      <c r="X545" s="11" t="n">
        <f aca="false">'Tax Tables'!$B$22*(MAX(W545,0)-IF(Calculator!$B$10="Yes",MIN(MAX(W545,0),'Tax Tables'!$B$27)*'Tax Tables'!$B$28+MIN(MAX(MAX(W545,0)-'Tax Tables'!$B$27,0),'Tax Tables'!$B$29)*'Tax Tables'!$B$30,MIN(MAX(W545,0),'Tax Tables'!$B$23)*'Tax Tables'!$B$24+MIN(MAX(MAX(W545,0)-'Tax Tables'!$B$23,0),'Tax Tables'!$B$25)*'Tax Tables'!$B$26))*1-MIN('Tax Tables'!$B$22*(MAX(W545,0)-IF(Calculator!$B$10="Yes",MIN(MAX(W545,0),'Tax Tables'!$B$27)*'Tax Tables'!$B$28+MIN(MAX(MAX(W545,0)-'Tax Tables'!$B$27,0),'Tax Tables'!$B$29)*'Tax Tables'!$B$30,MIN(MAX(W545,0),'Tax Tables'!$B$23)*'Tax Tables'!$B$24+MIN(MAX(MAX(W545,0)-'Tax Tables'!$B$23,0),'Tax Tables'!$B$25)*'Tax Tables'!$B$26))*Calculator!$B$11,Calculator!$B$12)</f>
        <v>9566.325</v>
      </c>
      <c r="Y545" s="11" t="n">
        <f aca="false">MAX(W545,0)-X545</f>
        <v>107978.675</v>
      </c>
      <c r="Z545" s="11" t="n">
        <f aca="false">MIN(IF(P545&gt;0,Calculator!$B$13,0)+T545+Calculator!$B$14,'Tax Tables'!$B$36)</f>
        <v>20200</v>
      </c>
      <c r="AA545" s="11" t="n">
        <f aca="false">MAX(P545-Z545,0)</f>
        <v>245800</v>
      </c>
      <c r="AB545" s="11" t="n">
        <f aca="false">SUMPRODUCT((AA545&gt;'Tax Tables'!$A$5:$A$17)*(AA545-'Tax Tables'!$A$5:$A$17)*'Tax Tables'!$C$5:$C$17)</f>
        <v>29881</v>
      </c>
      <c r="AC545" s="11" t="n">
        <f aca="false">IF(W545&lt;0,-1E+099,P545-T545-AB545+Y545+(T545+U545)*Calculator!$B$9)</f>
        <v>360417.675</v>
      </c>
    </row>
    <row r="546" customFormat="false" ht="15" hidden="false" customHeight="false" outlineLevel="0" collapsed="false">
      <c r="A546" s="11" t="n">
        <f aca="false">533*$B$3</f>
        <v>266500</v>
      </c>
      <c r="B546" s="11" t="n">
        <f aca="false">0</f>
        <v>0</v>
      </c>
      <c r="C546" s="11" t="n">
        <f aca="false">A546-B546</f>
        <v>266500</v>
      </c>
      <c r="D546" s="11" t="n">
        <f aca="false">IF(Calculator!$B$6="Yes",MIN(B546,'Tax Tables'!$B$31*'Tax Tables'!$B$32),0)</f>
        <v>0</v>
      </c>
      <c r="E546" s="11" t="n">
        <f aca="false">D546*Calculator!$B$7</f>
        <v>0</v>
      </c>
      <c r="F546" s="11" t="n">
        <f aca="false">D546*Calculator!$B$8</f>
        <v>0</v>
      </c>
      <c r="G546" s="11" t="n">
        <f aca="false">IF(B546&gt;0,'Tax Tables'!$B$32*MIN(MAX(B546/'Tax Tables'!$B$32*'Tax Tables'!$B$33,'Tax Tables'!$B$34),'Tax Tables'!$B$35),0)</f>
        <v>0</v>
      </c>
      <c r="H546" s="11" t="n">
        <f aca="false">Calculator!$B$5-A546-F546-G546</f>
        <v>133500</v>
      </c>
      <c r="I546" s="11" t="n">
        <f aca="false">'Tax Tables'!$B$22*(MAX(H546,0)-IF(Calculator!$B$10="Yes",MIN(MAX(H546,0),'Tax Tables'!$B$27)*'Tax Tables'!$B$28+MIN(MAX(MAX(H546,0)-'Tax Tables'!$B$27,0),'Tax Tables'!$B$29)*'Tax Tables'!$B$30,MIN(MAX(H546,0),'Tax Tables'!$B$23)*'Tax Tables'!$B$24+MIN(MAX(MAX(H546,0)-'Tax Tables'!$B$23,0),'Tax Tables'!$B$25)*'Tax Tables'!$B$26))*1-MIN('Tax Tables'!$B$22*(MAX(H546,0)-IF(Calculator!$B$10="Yes",MIN(MAX(H546,0),'Tax Tables'!$B$27)*'Tax Tables'!$B$28+MIN(MAX(MAX(H546,0)-'Tax Tables'!$B$27,0),'Tax Tables'!$B$29)*'Tax Tables'!$B$30,MIN(MAX(H546,0),'Tax Tables'!$B$23)*'Tax Tables'!$B$24+MIN(MAX(MAX(H546,0)-'Tax Tables'!$B$23,0),'Tax Tables'!$B$25)*'Tax Tables'!$B$26))*Calculator!$B$11,Calculator!$B$12)</f>
        <v>10922.5</v>
      </c>
      <c r="J546" s="11" t="n">
        <f aca="false">MAX(H546,0)-I546</f>
        <v>122577.5</v>
      </c>
      <c r="K546" s="11" t="n">
        <f aca="false">MIN(IF(A546&gt;0,Calculator!$B$13,0)+E546+Calculator!$B$14,'Tax Tables'!$B$36)</f>
        <v>1000</v>
      </c>
      <c r="L546" s="11" t="n">
        <f aca="false">MAX(A546-K546,0)</f>
        <v>265500</v>
      </c>
      <c r="M546" s="11" t="n">
        <f aca="false">SUMPRODUCT((L546&gt;'Tax Tables'!$A$5:$A$17)*(L546-'Tax Tables'!$A$5:$A$17)*'Tax Tables'!$C$5:$C$17)</f>
        <v>33722.5</v>
      </c>
      <c r="N546" s="11" t="n">
        <f aca="false">IF(H546&lt;0,-1E+099,A546-E546-M546+J546+(E546+F546)*Calculator!$B$9)</f>
        <v>355355</v>
      </c>
      <c r="O546" s="2"/>
      <c r="P546" s="11" t="n">
        <f aca="false">533*$B$3</f>
        <v>266500</v>
      </c>
      <c r="Q546" s="11" t="n">
        <f aca="false">MIN(P546,'Tax Tables'!$B$31*'Tax Tables'!$B$32)</f>
        <v>96000</v>
      </c>
      <c r="R546" s="11" t="n">
        <f aca="false">P546-Q546</f>
        <v>170500</v>
      </c>
      <c r="S546" s="11" t="n">
        <f aca="false">IF(Calculator!$B$6="Yes",MIN(Q546,'Tax Tables'!$B$31*'Tax Tables'!$B$32),0)</f>
        <v>96000</v>
      </c>
      <c r="T546" s="11" t="n">
        <f aca="false">S546*Calculator!$B$7</f>
        <v>19200</v>
      </c>
      <c r="U546" s="11" t="n">
        <f aca="false">S546*Calculator!$B$8</f>
        <v>16320</v>
      </c>
      <c r="V546" s="11" t="n">
        <f aca="false">IF(Q546&gt;0,'Tax Tables'!$B$32*MIN(MAX(Q546/'Tax Tables'!$B$32*'Tax Tables'!$B$33,'Tax Tables'!$B$34),'Tax Tables'!$B$35),0)</f>
        <v>135</v>
      </c>
      <c r="W546" s="11" t="n">
        <f aca="false">Calculator!$B$5-P546-U546-V546</f>
        <v>117045</v>
      </c>
      <c r="X546" s="11" t="n">
        <f aca="false">'Tax Tables'!$B$22*(MAX(W546,0)-IF(Calculator!$B$10="Yes",MIN(MAX(W546,0),'Tax Tables'!$B$27)*'Tax Tables'!$B$28+MIN(MAX(MAX(W546,0)-'Tax Tables'!$B$27,0),'Tax Tables'!$B$29)*'Tax Tables'!$B$30,MIN(MAX(W546,0),'Tax Tables'!$B$23)*'Tax Tables'!$B$24+MIN(MAX(MAX(W546,0)-'Tax Tables'!$B$23,0),'Tax Tables'!$B$25)*'Tax Tables'!$B$26))*1-MIN('Tax Tables'!$B$22*(MAX(W546,0)-IF(Calculator!$B$10="Yes",MIN(MAX(W546,0),'Tax Tables'!$B$27)*'Tax Tables'!$B$28+MIN(MAX(MAX(W546,0)-'Tax Tables'!$B$27,0),'Tax Tables'!$B$29)*'Tax Tables'!$B$30,MIN(MAX(W546,0),'Tax Tables'!$B$23)*'Tax Tables'!$B$24+MIN(MAX(MAX(W546,0)-'Tax Tables'!$B$23,0),'Tax Tables'!$B$25)*'Tax Tables'!$B$26))*Calculator!$B$11,Calculator!$B$12)</f>
        <v>9523.825</v>
      </c>
      <c r="Y546" s="11" t="n">
        <f aca="false">MAX(W546,0)-X546</f>
        <v>107521.175</v>
      </c>
      <c r="Z546" s="11" t="n">
        <f aca="false">MIN(IF(P546&gt;0,Calculator!$B$13,0)+T546+Calculator!$B$14,'Tax Tables'!$B$36)</f>
        <v>20200</v>
      </c>
      <c r="AA546" s="11" t="n">
        <f aca="false">MAX(P546-Z546,0)</f>
        <v>246300</v>
      </c>
      <c r="AB546" s="11" t="n">
        <f aca="false">SUMPRODUCT((AA546&gt;'Tax Tables'!$A$5:$A$17)*(AA546-'Tax Tables'!$A$5:$A$17)*'Tax Tables'!$C$5:$C$17)</f>
        <v>29978.5</v>
      </c>
      <c r="AC546" s="11" t="n">
        <f aca="false">IF(W546&lt;0,-1E+099,P546-T546-AB546+Y546+(T546+U546)*Calculator!$B$9)</f>
        <v>360362.675</v>
      </c>
    </row>
    <row r="547" customFormat="false" ht="15" hidden="false" customHeight="false" outlineLevel="0" collapsed="false">
      <c r="A547" s="11" t="n">
        <f aca="false">534*$B$3</f>
        <v>267000</v>
      </c>
      <c r="B547" s="11" t="n">
        <f aca="false">0</f>
        <v>0</v>
      </c>
      <c r="C547" s="11" t="n">
        <f aca="false">A547-B547</f>
        <v>267000</v>
      </c>
      <c r="D547" s="11" t="n">
        <f aca="false">IF(Calculator!$B$6="Yes",MIN(B547,'Tax Tables'!$B$31*'Tax Tables'!$B$32),0)</f>
        <v>0</v>
      </c>
      <c r="E547" s="11" t="n">
        <f aca="false">D547*Calculator!$B$7</f>
        <v>0</v>
      </c>
      <c r="F547" s="11" t="n">
        <f aca="false">D547*Calculator!$B$8</f>
        <v>0</v>
      </c>
      <c r="G547" s="11" t="n">
        <f aca="false">IF(B547&gt;0,'Tax Tables'!$B$32*MIN(MAX(B547/'Tax Tables'!$B$32*'Tax Tables'!$B$33,'Tax Tables'!$B$34),'Tax Tables'!$B$35),0)</f>
        <v>0</v>
      </c>
      <c r="H547" s="11" t="n">
        <f aca="false">Calculator!$B$5-A547-F547-G547</f>
        <v>133000</v>
      </c>
      <c r="I547" s="11" t="n">
        <f aca="false">'Tax Tables'!$B$22*(MAX(H547,0)-IF(Calculator!$B$10="Yes",MIN(MAX(H547,0),'Tax Tables'!$B$27)*'Tax Tables'!$B$28+MIN(MAX(MAX(H547,0)-'Tax Tables'!$B$27,0),'Tax Tables'!$B$29)*'Tax Tables'!$B$30,MIN(MAX(H547,0),'Tax Tables'!$B$23)*'Tax Tables'!$B$24+MIN(MAX(MAX(H547,0)-'Tax Tables'!$B$23,0),'Tax Tables'!$B$25)*'Tax Tables'!$B$26))*1-MIN('Tax Tables'!$B$22*(MAX(H547,0)-IF(Calculator!$B$10="Yes",MIN(MAX(H547,0),'Tax Tables'!$B$27)*'Tax Tables'!$B$28+MIN(MAX(MAX(H547,0)-'Tax Tables'!$B$27,0),'Tax Tables'!$B$29)*'Tax Tables'!$B$30,MIN(MAX(H547,0),'Tax Tables'!$B$23)*'Tax Tables'!$B$24+MIN(MAX(MAX(H547,0)-'Tax Tables'!$B$23,0),'Tax Tables'!$B$25)*'Tax Tables'!$B$26))*Calculator!$B$11,Calculator!$B$12)</f>
        <v>10880</v>
      </c>
      <c r="J547" s="11" t="n">
        <f aca="false">MAX(H547,0)-I547</f>
        <v>122120</v>
      </c>
      <c r="K547" s="11" t="n">
        <f aca="false">MIN(IF(A547&gt;0,Calculator!$B$13,0)+E547+Calculator!$B$14,'Tax Tables'!$B$36)</f>
        <v>1000</v>
      </c>
      <c r="L547" s="11" t="n">
        <f aca="false">MAX(A547-K547,0)</f>
        <v>266000</v>
      </c>
      <c r="M547" s="11" t="n">
        <f aca="false">SUMPRODUCT((L547&gt;'Tax Tables'!$A$5:$A$17)*(L547-'Tax Tables'!$A$5:$A$17)*'Tax Tables'!$C$5:$C$17)</f>
        <v>33820</v>
      </c>
      <c r="N547" s="11" t="n">
        <f aca="false">IF(H547&lt;0,-1E+099,A547-E547-M547+J547+(E547+F547)*Calculator!$B$9)</f>
        <v>355300</v>
      </c>
      <c r="O547" s="2"/>
      <c r="P547" s="11" t="n">
        <f aca="false">534*$B$3</f>
        <v>267000</v>
      </c>
      <c r="Q547" s="11" t="n">
        <f aca="false">MIN(P547,'Tax Tables'!$B$31*'Tax Tables'!$B$32)</f>
        <v>96000</v>
      </c>
      <c r="R547" s="11" t="n">
        <f aca="false">P547-Q547</f>
        <v>171000</v>
      </c>
      <c r="S547" s="11" t="n">
        <f aca="false">IF(Calculator!$B$6="Yes",MIN(Q547,'Tax Tables'!$B$31*'Tax Tables'!$B$32),0)</f>
        <v>96000</v>
      </c>
      <c r="T547" s="11" t="n">
        <f aca="false">S547*Calculator!$B$7</f>
        <v>19200</v>
      </c>
      <c r="U547" s="11" t="n">
        <f aca="false">S547*Calculator!$B$8</f>
        <v>16320</v>
      </c>
      <c r="V547" s="11" t="n">
        <f aca="false">IF(Q547&gt;0,'Tax Tables'!$B$32*MIN(MAX(Q547/'Tax Tables'!$B$32*'Tax Tables'!$B$33,'Tax Tables'!$B$34),'Tax Tables'!$B$35),0)</f>
        <v>135</v>
      </c>
      <c r="W547" s="11" t="n">
        <f aca="false">Calculator!$B$5-P547-U547-V547</f>
        <v>116545</v>
      </c>
      <c r="X547" s="11" t="n">
        <f aca="false">'Tax Tables'!$B$22*(MAX(W547,0)-IF(Calculator!$B$10="Yes",MIN(MAX(W547,0),'Tax Tables'!$B$27)*'Tax Tables'!$B$28+MIN(MAX(MAX(W547,0)-'Tax Tables'!$B$27,0),'Tax Tables'!$B$29)*'Tax Tables'!$B$30,MIN(MAX(W547,0),'Tax Tables'!$B$23)*'Tax Tables'!$B$24+MIN(MAX(MAX(W547,0)-'Tax Tables'!$B$23,0),'Tax Tables'!$B$25)*'Tax Tables'!$B$26))*1-MIN('Tax Tables'!$B$22*(MAX(W547,0)-IF(Calculator!$B$10="Yes",MIN(MAX(W547,0),'Tax Tables'!$B$27)*'Tax Tables'!$B$28+MIN(MAX(MAX(W547,0)-'Tax Tables'!$B$27,0),'Tax Tables'!$B$29)*'Tax Tables'!$B$30,MIN(MAX(W547,0),'Tax Tables'!$B$23)*'Tax Tables'!$B$24+MIN(MAX(MAX(W547,0)-'Tax Tables'!$B$23,0),'Tax Tables'!$B$25)*'Tax Tables'!$B$26))*Calculator!$B$11,Calculator!$B$12)</f>
        <v>9481.325</v>
      </c>
      <c r="Y547" s="11" t="n">
        <f aca="false">MAX(W547,0)-X547</f>
        <v>107063.675</v>
      </c>
      <c r="Z547" s="11" t="n">
        <f aca="false">MIN(IF(P547&gt;0,Calculator!$B$13,0)+T547+Calculator!$B$14,'Tax Tables'!$B$36)</f>
        <v>20200</v>
      </c>
      <c r="AA547" s="11" t="n">
        <f aca="false">MAX(P547-Z547,0)</f>
        <v>246800</v>
      </c>
      <c r="AB547" s="11" t="n">
        <f aca="false">SUMPRODUCT((AA547&gt;'Tax Tables'!$A$5:$A$17)*(AA547-'Tax Tables'!$A$5:$A$17)*'Tax Tables'!$C$5:$C$17)</f>
        <v>30076</v>
      </c>
      <c r="AC547" s="11" t="n">
        <f aca="false">IF(W547&lt;0,-1E+099,P547-T547-AB547+Y547+(T547+U547)*Calculator!$B$9)</f>
        <v>360307.675</v>
      </c>
    </row>
    <row r="548" customFormat="false" ht="15" hidden="false" customHeight="false" outlineLevel="0" collapsed="false">
      <c r="A548" s="11" t="n">
        <f aca="false">535*$B$3</f>
        <v>267500</v>
      </c>
      <c r="B548" s="11" t="n">
        <f aca="false">0</f>
        <v>0</v>
      </c>
      <c r="C548" s="11" t="n">
        <f aca="false">A548-B548</f>
        <v>267500</v>
      </c>
      <c r="D548" s="11" t="n">
        <f aca="false">IF(Calculator!$B$6="Yes",MIN(B548,'Tax Tables'!$B$31*'Tax Tables'!$B$32),0)</f>
        <v>0</v>
      </c>
      <c r="E548" s="11" t="n">
        <f aca="false">D548*Calculator!$B$7</f>
        <v>0</v>
      </c>
      <c r="F548" s="11" t="n">
        <f aca="false">D548*Calculator!$B$8</f>
        <v>0</v>
      </c>
      <c r="G548" s="11" t="n">
        <f aca="false">IF(B548&gt;0,'Tax Tables'!$B$32*MIN(MAX(B548/'Tax Tables'!$B$32*'Tax Tables'!$B$33,'Tax Tables'!$B$34),'Tax Tables'!$B$35),0)</f>
        <v>0</v>
      </c>
      <c r="H548" s="11" t="n">
        <f aca="false">Calculator!$B$5-A548-F548-G548</f>
        <v>132500</v>
      </c>
      <c r="I548" s="11" t="n">
        <f aca="false">'Tax Tables'!$B$22*(MAX(H548,0)-IF(Calculator!$B$10="Yes",MIN(MAX(H548,0),'Tax Tables'!$B$27)*'Tax Tables'!$B$28+MIN(MAX(MAX(H548,0)-'Tax Tables'!$B$27,0),'Tax Tables'!$B$29)*'Tax Tables'!$B$30,MIN(MAX(H548,0),'Tax Tables'!$B$23)*'Tax Tables'!$B$24+MIN(MAX(MAX(H548,0)-'Tax Tables'!$B$23,0),'Tax Tables'!$B$25)*'Tax Tables'!$B$26))*1-MIN('Tax Tables'!$B$22*(MAX(H548,0)-IF(Calculator!$B$10="Yes",MIN(MAX(H548,0),'Tax Tables'!$B$27)*'Tax Tables'!$B$28+MIN(MAX(MAX(H548,0)-'Tax Tables'!$B$27,0),'Tax Tables'!$B$29)*'Tax Tables'!$B$30,MIN(MAX(H548,0),'Tax Tables'!$B$23)*'Tax Tables'!$B$24+MIN(MAX(MAX(H548,0)-'Tax Tables'!$B$23,0),'Tax Tables'!$B$25)*'Tax Tables'!$B$26))*Calculator!$B$11,Calculator!$B$12)</f>
        <v>10837.5</v>
      </c>
      <c r="J548" s="11" t="n">
        <f aca="false">MAX(H548,0)-I548</f>
        <v>121662.5</v>
      </c>
      <c r="K548" s="11" t="n">
        <f aca="false">MIN(IF(A548&gt;0,Calculator!$B$13,0)+E548+Calculator!$B$14,'Tax Tables'!$B$36)</f>
        <v>1000</v>
      </c>
      <c r="L548" s="11" t="n">
        <f aca="false">MAX(A548-K548,0)</f>
        <v>266500</v>
      </c>
      <c r="M548" s="11" t="n">
        <f aca="false">SUMPRODUCT((L548&gt;'Tax Tables'!$A$5:$A$17)*(L548-'Tax Tables'!$A$5:$A$17)*'Tax Tables'!$C$5:$C$17)</f>
        <v>33917.5</v>
      </c>
      <c r="N548" s="11" t="n">
        <f aca="false">IF(H548&lt;0,-1E+099,A548-E548-M548+J548+(E548+F548)*Calculator!$B$9)</f>
        <v>355245</v>
      </c>
      <c r="O548" s="2"/>
      <c r="P548" s="11" t="n">
        <f aca="false">535*$B$3</f>
        <v>267500</v>
      </c>
      <c r="Q548" s="11" t="n">
        <f aca="false">MIN(P548,'Tax Tables'!$B$31*'Tax Tables'!$B$32)</f>
        <v>96000</v>
      </c>
      <c r="R548" s="11" t="n">
        <f aca="false">P548-Q548</f>
        <v>171500</v>
      </c>
      <c r="S548" s="11" t="n">
        <f aca="false">IF(Calculator!$B$6="Yes",MIN(Q548,'Tax Tables'!$B$31*'Tax Tables'!$B$32),0)</f>
        <v>96000</v>
      </c>
      <c r="T548" s="11" t="n">
        <f aca="false">S548*Calculator!$B$7</f>
        <v>19200</v>
      </c>
      <c r="U548" s="11" t="n">
        <f aca="false">S548*Calculator!$B$8</f>
        <v>16320</v>
      </c>
      <c r="V548" s="11" t="n">
        <f aca="false">IF(Q548&gt;0,'Tax Tables'!$B$32*MIN(MAX(Q548/'Tax Tables'!$B$32*'Tax Tables'!$B$33,'Tax Tables'!$B$34),'Tax Tables'!$B$35),0)</f>
        <v>135</v>
      </c>
      <c r="W548" s="11" t="n">
        <f aca="false">Calculator!$B$5-P548-U548-V548</f>
        <v>116045</v>
      </c>
      <c r="X548" s="11" t="n">
        <f aca="false">'Tax Tables'!$B$22*(MAX(W548,0)-IF(Calculator!$B$10="Yes",MIN(MAX(W548,0),'Tax Tables'!$B$27)*'Tax Tables'!$B$28+MIN(MAX(MAX(W548,0)-'Tax Tables'!$B$27,0),'Tax Tables'!$B$29)*'Tax Tables'!$B$30,MIN(MAX(W548,0),'Tax Tables'!$B$23)*'Tax Tables'!$B$24+MIN(MAX(MAX(W548,0)-'Tax Tables'!$B$23,0),'Tax Tables'!$B$25)*'Tax Tables'!$B$26))*1-MIN('Tax Tables'!$B$22*(MAX(W548,0)-IF(Calculator!$B$10="Yes",MIN(MAX(W548,0),'Tax Tables'!$B$27)*'Tax Tables'!$B$28+MIN(MAX(MAX(W548,0)-'Tax Tables'!$B$27,0),'Tax Tables'!$B$29)*'Tax Tables'!$B$30,MIN(MAX(W548,0),'Tax Tables'!$B$23)*'Tax Tables'!$B$24+MIN(MAX(MAX(W548,0)-'Tax Tables'!$B$23,0),'Tax Tables'!$B$25)*'Tax Tables'!$B$26))*Calculator!$B$11,Calculator!$B$12)</f>
        <v>9438.825</v>
      </c>
      <c r="Y548" s="11" t="n">
        <f aca="false">MAX(W548,0)-X548</f>
        <v>106606.175</v>
      </c>
      <c r="Z548" s="11" t="n">
        <f aca="false">MIN(IF(P548&gt;0,Calculator!$B$13,0)+T548+Calculator!$B$14,'Tax Tables'!$B$36)</f>
        <v>20200</v>
      </c>
      <c r="AA548" s="11" t="n">
        <f aca="false">MAX(P548-Z548,0)</f>
        <v>247300</v>
      </c>
      <c r="AB548" s="11" t="n">
        <f aca="false">SUMPRODUCT((AA548&gt;'Tax Tables'!$A$5:$A$17)*(AA548-'Tax Tables'!$A$5:$A$17)*'Tax Tables'!$C$5:$C$17)</f>
        <v>30173.5</v>
      </c>
      <c r="AC548" s="11" t="n">
        <f aca="false">IF(W548&lt;0,-1E+099,P548-T548-AB548+Y548+(T548+U548)*Calculator!$B$9)</f>
        <v>360252.675</v>
      </c>
    </row>
    <row r="549" customFormat="false" ht="15" hidden="false" customHeight="false" outlineLevel="0" collapsed="false">
      <c r="A549" s="11" t="n">
        <f aca="false">536*$B$3</f>
        <v>268000</v>
      </c>
      <c r="B549" s="11" t="n">
        <f aca="false">0</f>
        <v>0</v>
      </c>
      <c r="C549" s="11" t="n">
        <f aca="false">A549-B549</f>
        <v>268000</v>
      </c>
      <c r="D549" s="11" t="n">
        <f aca="false">IF(Calculator!$B$6="Yes",MIN(B549,'Tax Tables'!$B$31*'Tax Tables'!$B$32),0)</f>
        <v>0</v>
      </c>
      <c r="E549" s="11" t="n">
        <f aca="false">D549*Calculator!$B$7</f>
        <v>0</v>
      </c>
      <c r="F549" s="11" t="n">
        <f aca="false">D549*Calculator!$B$8</f>
        <v>0</v>
      </c>
      <c r="G549" s="11" t="n">
        <f aca="false">IF(B549&gt;0,'Tax Tables'!$B$32*MIN(MAX(B549/'Tax Tables'!$B$32*'Tax Tables'!$B$33,'Tax Tables'!$B$34),'Tax Tables'!$B$35),0)</f>
        <v>0</v>
      </c>
      <c r="H549" s="11" t="n">
        <f aca="false">Calculator!$B$5-A549-F549-G549</f>
        <v>132000</v>
      </c>
      <c r="I549" s="11" t="n">
        <f aca="false">'Tax Tables'!$B$22*(MAX(H549,0)-IF(Calculator!$B$10="Yes",MIN(MAX(H549,0),'Tax Tables'!$B$27)*'Tax Tables'!$B$28+MIN(MAX(MAX(H549,0)-'Tax Tables'!$B$27,0),'Tax Tables'!$B$29)*'Tax Tables'!$B$30,MIN(MAX(H549,0),'Tax Tables'!$B$23)*'Tax Tables'!$B$24+MIN(MAX(MAX(H549,0)-'Tax Tables'!$B$23,0),'Tax Tables'!$B$25)*'Tax Tables'!$B$26))*1-MIN('Tax Tables'!$B$22*(MAX(H549,0)-IF(Calculator!$B$10="Yes",MIN(MAX(H549,0),'Tax Tables'!$B$27)*'Tax Tables'!$B$28+MIN(MAX(MAX(H549,0)-'Tax Tables'!$B$27,0),'Tax Tables'!$B$29)*'Tax Tables'!$B$30,MIN(MAX(H549,0),'Tax Tables'!$B$23)*'Tax Tables'!$B$24+MIN(MAX(MAX(H549,0)-'Tax Tables'!$B$23,0),'Tax Tables'!$B$25)*'Tax Tables'!$B$26))*Calculator!$B$11,Calculator!$B$12)</f>
        <v>10795</v>
      </c>
      <c r="J549" s="11" t="n">
        <f aca="false">MAX(H549,0)-I549</f>
        <v>121205</v>
      </c>
      <c r="K549" s="11" t="n">
        <f aca="false">MIN(IF(A549&gt;0,Calculator!$B$13,0)+E549+Calculator!$B$14,'Tax Tables'!$B$36)</f>
        <v>1000</v>
      </c>
      <c r="L549" s="11" t="n">
        <f aca="false">MAX(A549-K549,0)</f>
        <v>267000</v>
      </c>
      <c r="M549" s="11" t="n">
        <f aca="false">SUMPRODUCT((L549&gt;'Tax Tables'!$A$5:$A$17)*(L549-'Tax Tables'!$A$5:$A$17)*'Tax Tables'!$C$5:$C$17)</f>
        <v>34015</v>
      </c>
      <c r="N549" s="11" t="n">
        <f aca="false">IF(H549&lt;0,-1E+099,A549-E549-M549+J549+(E549+F549)*Calculator!$B$9)</f>
        <v>355190</v>
      </c>
      <c r="O549" s="2"/>
      <c r="P549" s="11" t="n">
        <f aca="false">536*$B$3</f>
        <v>268000</v>
      </c>
      <c r="Q549" s="11" t="n">
        <f aca="false">MIN(P549,'Tax Tables'!$B$31*'Tax Tables'!$B$32)</f>
        <v>96000</v>
      </c>
      <c r="R549" s="11" t="n">
        <f aca="false">P549-Q549</f>
        <v>172000</v>
      </c>
      <c r="S549" s="11" t="n">
        <f aca="false">IF(Calculator!$B$6="Yes",MIN(Q549,'Tax Tables'!$B$31*'Tax Tables'!$B$32),0)</f>
        <v>96000</v>
      </c>
      <c r="T549" s="11" t="n">
        <f aca="false">S549*Calculator!$B$7</f>
        <v>19200</v>
      </c>
      <c r="U549" s="11" t="n">
        <f aca="false">S549*Calculator!$B$8</f>
        <v>16320</v>
      </c>
      <c r="V549" s="11" t="n">
        <f aca="false">IF(Q549&gt;0,'Tax Tables'!$B$32*MIN(MAX(Q549/'Tax Tables'!$B$32*'Tax Tables'!$B$33,'Tax Tables'!$B$34),'Tax Tables'!$B$35),0)</f>
        <v>135</v>
      </c>
      <c r="W549" s="11" t="n">
        <f aca="false">Calculator!$B$5-P549-U549-V549</f>
        <v>115545</v>
      </c>
      <c r="X549" s="11" t="n">
        <f aca="false">'Tax Tables'!$B$22*(MAX(W549,0)-IF(Calculator!$B$10="Yes",MIN(MAX(W549,0),'Tax Tables'!$B$27)*'Tax Tables'!$B$28+MIN(MAX(MAX(W549,0)-'Tax Tables'!$B$27,0),'Tax Tables'!$B$29)*'Tax Tables'!$B$30,MIN(MAX(W549,0),'Tax Tables'!$B$23)*'Tax Tables'!$B$24+MIN(MAX(MAX(W549,0)-'Tax Tables'!$B$23,0),'Tax Tables'!$B$25)*'Tax Tables'!$B$26))*1-MIN('Tax Tables'!$B$22*(MAX(W549,0)-IF(Calculator!$B$10="Yes",MIN(MAX(W549,0),'Tax Tables'!$B$27)*'Tax Tables'!$B$28+MIN(MAX(MAX(W549,0)-'Tax Tables'!$B$27,0),'Tax Tables'!$B$29)*'Tax Tables'!$B$30,MIN(MAX(W549,0),'Tax Tables'!$B$23)*'Tax Tables'!$B$24+MIN(MAX(MAX(W549,0)-'Tax Tables'!$B$23,0),'Tax Tables'!$B$25)*'Tax Tables'!$B$26))*Calculator!$B$11,Calculator!$B$12)</f>
        <v>9396.325</v>
      </c>
      <c r="Y549" s="11" t="n">
        <f aca="false">MAX(W549,0)-X549</f>
        <v>106148.675</v>
      </c>
      <c r="Z549" s="11" t="n">
        <f aca="false">MIN(IF(P549&gt;0,Calculator!$B$13,0)+T549+Calculator!$B$14,'Tax Tables'!$B$36)</f>
        <v>20200</v>
      </c>
      <c r="AA549" s="11" t="n">
        <f aca="false">MAX(P549-Z549,0)</f>
        <v>247800</v>
      </c>
      <c r="AB549" s="11" t="n">
        <f aca="false">SUMPRODUCT((AA549&gt;'Tax Tables'!$A$5:$A$17)*(AA549-'Tax Tables'!$A$5:$A$17)*'Tax Tables'!$C$5:$C$17)</f>
        <v>30271</v>
      </c>
      <c r="AC549" s="11" t="n">
        <f aca="false">IF(W549&lt;0,-1E+099,P549-T549-AB549+Y549+(T549+U549)*Calculator!$B$9)</f>
        <v>360197.675</v>
      </c>
    </row>
    <row r="550" customFormat="false" ht="15" hidden="false" customHeight="false" outlineLevel="0" collapsed="false">
      <c r="A550" s="11" t="n">
        <f aca="false">537*$B$3</f>
        <v>268500</v>
      </c>
      <c r="B550" s="11" t="n">
        <f aca="false">0</f>
        <v>0</v>
      </c>
      <c r="C550" s="11" t="n">
        <f aca="false">A550-B550</f>
        <v>268500</v>
      </c>
      <c r="D550" s="11" t="n">
        <f aca="false">IF(Calculator!$B$6="Yes",MIN(B550,'Tax Tables'!$B$31*'Tax Tables'!$B$32),0)</f>
        <v>0</v>
      </c>
      <c r="E550" s="11" t="n">
        <f aca="false">D550*Calculator!$B$7</f>
        <v>0</v>
      </c>
      <c r="F550" s="11" t="n">
        <f aca="false">D550*Calculator!$B$8</f>
        <v>0</v>
      </c>
      <c r="G550" s="11" t="n">
        <f aca="false">IF(B550&gt;0,'Tax Tables'!$B$32*MIN(MAX(B550/'Tax Tables'!$B$32*'Tax Tables'!$B$33,'Tax Tables'!$B$34),'Tax Tables'!$B$35),0)</f>
        <v>0</v>
      </c>
      <c r="H550" s="11" t="n">
        <f aca="false">Calculator!$B$5-A550-F550-G550</f>
        <v>131500</v>
      </c>
      <c r="I550" s="11" t="n">
        <f aca="false">'Tax Tables'!$B$22*(MAX(H550,0)-IF(Calculator!$B$10="Yes",MIN(MAX(H550,0),'Tax Tables'!$B$27)*'Tax Tables'!$B$28+MIN(MAX(MAX(H550,0)-'Tax Tables'!$B$27,0),'Tax Tables'!$B$29)*'Tax Tables'!$B$30,MIN(MAX(H550,0),'Tax Tables'!$B$23)*'Tax Tables'!$B$24+MIN(MAX(MAX(H550,0)-'Tax Tables'!$B$23,0),'Tax Tables'!$B$25)*'Tax Tables'!$B$26))*1-MIN('Tax Tables'!$B$22*(MAX(H550,0)-IF(Calculator!$B$10="Yes",MIN(MAX(H550,0),'Tax Tables'!$B$27)*'Tax Tables'!$B$28+MIN(MAX(MAX(H550,0)-'Tax Tables'!$B$27,0),'Tax Tables'!$B$29)*'Tax Tables'!$B$30,MIN(MAX(H550,0),'Tax Tables'!$B$23)*'Tax Tables'!$B$24+MIN(MAX(MAX(H550,0)-'Tax Tables'!$B$23,0),'Tax Tables'!$B$25)*'Tax Tables'!$B$26))*Calculator!$B$11,Calculator!$B$12)</f>
        <v>10752.5</v>
      </c>
      <c r="J550" s="11" t="n">
        <f aca="false">MAX(H550,0)-I550</f>
        <v>120747.5</v>
      </c>
      <c r="K550" s="11" t="n">
        <f aca="false">MIN(IF(A550&gt;0,Calculator!$B$13,0)+E550+Calculator!$B$14,'Tax Tables'!$B$36)</f>
        <v>1000</v>
      </c>
      <c r="L550" s="11" t="n">
        <f aca="false">MAX(A550-K550,0)</f>
        <v>267500</v>
      </c>
      <c r="M550" s="11" t="n">
        <f aca="false">SUMPRODUCT((L550&gt;'Tax Tables'!$A$5:$A$17)*(L550-'Tax Tables'!$A$5:$A$17)*'Tax Tables'!$C$5:$C$17)</f>
        <v>34112.5</v>
      </c>
      <c r="N550" s="11" t="n">
        <f aca="false">IF(H550&lt;0,-1E+099,A550-E550-M550+J550+(E550+F550)*Calculator!$B$9)</f>
        <v>355135</v>
      </c>
      <c r="O550" s="2"/>
      <c r="P550" s="11" t="n">
        <f aca="false">537*$B$3</f>
        <v>268500</v>
      </c>
      <c r="Q550" s="11" t="n">
        <f aca="false">MIN(P550,'Tax Tables'!$B$31*'Tax Tables'!$B$32)</f>
        <v>96000</v>
      </c>
      <c r="R550" s="11" t="n">
        <f aca="false">P550-Q550</f>
        <v>172500</v>
      </c>
      <c r="S550" s="11" t="n">
        <f aca="false">IF(Calculator!$B$6="Yes",MIN(Q550,'Tax Tables'!$B$31*'Tax Tables'!$B$32),0)</f>
        <v>96000</v>
      </c>
      <c r="T550" s="11" t="n">
        <f aca="false">S550*Calculator!$B$7</f>
        <v>19200</v>
      </c>
      <c r="U550" s="11" t="n">
        <f aca="false">S550*Calculator!$B$8</f>
        <v>16320</v>
      </c>
      <c r="V550" s="11" t="n">
        <f aca="false">IF(Q550&gt;0,'Tax Tables'!$B$32*MIN(MAX(Q550/'Tax Tables'!$B$32*'Tax Tables'!$B$33,'Tax Tables'!$B$34),'Tax Tables'!$B$35),0)</f>
        <v>135</v>
      </c>
      <c r="W550" s="11" t="n">
        <f aca="false">Calculator!$B$5-P550-U550-V550</f>
        <v>115045</v>
      </c>
      <c r="X550" s="11" t="n">
        <f aca="false">'Tax Tables'!$B$22*(MAX(W550,0)-IF(Calculator!$B$10="Yes",MIN(MAX(W550,0),'Tax Tables'!$B$27)*'Tax Tables'!$B$28+MIN(MAX(MAX(W550,0)-'Tax Tables'!$B$27,0),'Tax Tables'!$B$29)*'Tax Tables'!$B$30,MIN(MAX(W550,0),'Tax Tables'!$B$23)*'Tax Tables'!$B$24+MIN(MAX(MAX(W550,0)-'Tax Tables'!$B$23,0),'Tax Tables'!$B$25)*'Tax Tables'!$B$26))*1-MIN('Tax Tables'!$B$22*(MAX(W550,0)-IF(Calculator!$B$10="Yes",MIN(MAX(W550,0),'Tax Tables'!$B$27)*'Tax Tables'!$B$28+MIN(MAX(MAX(W550,0)-'Tax Tables'!$B$27,0),'Tax Tables'!$B$29)*'Tax Tables'!$B$30,MIN(MAX(W550,0),'Tax Tables'!$B$23)*'Tax Tables'!$B$24+MIN(MAX(MAX(W550,0)-'Tax Tables'!$B$23,0),'Tax Tables'!$B$25)*'Tax Tables'!$B$26))*Calculator!$B$11,Calculator!$B$12)</f>
        <v>9353.825</v>
      </c>
      <c r="Y550" s="11" t="n">
        <f aca="false">MAX(W550,0)-X550</f>
        <v>105691.175</v>
      </c>
      <c r="Z550" s="11" t="n">
        <f aca="false">MIN(IF(P550&gt;0,Calculator!$B$13,0)+T550+Calculator!$B$14,'Tax Tables'!$B$36)</f>
        <v>20200</v>
      </c>
      <c r="AA550" s="11" t="n">
        <f aca="false">MAX(P550-Z550,0)</f>
        <v>248300</v>
      </c>
      <c r="AB550" s="11" t="n">
        <f aca="false">SUMPRODUCT((AA550&gt;'Tax Tables'!$A$5:$A$17)*(AA550-'Tax Tables'!$A$5:$A$17)*'Tax Tables'!$C$5:$C$17)</f>
        <v>30368.5</v>
      </c>
      <c r="AC550" s="11" t="n">
        <f aca="false">IF(W550&lt;0,-1E+099,P550-T550-AB550+Y550+(T550+U550)*Calculator!$B$9)</f>
        <v>360142.675</v>
      </c>
    </row>
    <row r="551" customFormat="false" ht="15" hidden="false" customHeight="false" outlineLevel="0" collapsed="false">
      <c r="A551" s="11" t="n">
        <f aca="false">538*$B$3</f>
        <v>269000</v>
      </c>
      <c r="B551" s="11" t="n">
        <f aca="false">0</f>
        <v>0</v>
      </c>
      <c r="C551" s="11" t="n">
        <f aca="false">A551-B551</f>
        <v>269000</v>
      </c>
      <c r="D551" s="11" t="n">
        <f aca="false">IF(Calculator!$B$6="Yes",MIN(B551,'Tax Tables'!$B$31*'Tax Tables'!$B$32),0)</f>
        <v>0</v>
      </c>
      <c r="E551" s="11" t="n">
        <f aca="false">D551*Calculator!$B$7</f>
        <v>0</v>
      </c>
      <c r="F551" s="11" t="n">
        <f aca="false">D551*Calculator!$B$8</f>
        <v>0</v>
      </c>
      <c r="G551" s="11" t="n">
        <f aca="false">IF(B551&gt;0,'Tax Tables'!$B$32*MIN(MAX(B551/'Tax Tables'!$B$32*'Tax Tables'!$B$33,'Tax Tables'!$B$34),'Tax Tables'!$B$35),0)</f>
        <v>0</v>
      </c>
      <c r="H551" s="11" t="n">
        <f aca="false">Calculator!$B$5-A551-F551-G551</f>
        <v>131000</v>
      </c>
      <c r="I551" s="11" t="n">
        <f aca="false">'Tax Tables'!$B$22*(MAX(H551,0)-IF(Calculator!$B$10="Yes",MIN(MAX(H551,0),'Tax Tables'!$B$27)*'Tax Tables'!$B$28+MIN(MAX(MAX(H551,0)-'Tax Tables'!$B$27,0),'Tax Tables'!$B$29)*'Tax Tables'!$B$30,MIN(MAX(H551,0),'Tax Tables'!$B$23)*'Tax Tables'!$B$24+MIN(MAX(MAX(H551,0)-'Tax Tables'!$B$23,0),'Tax Tables'!$B$25)*'Tax Tables'!$B$26))*1-MIN('Tax Tables'!$B$22*(MAX(H551,0)-IF(Calculator!$B$10="Yes",MIN(MAX(H551,0),'Tax Tables'!$B$27)*'Tax Tables'!$B$28+MIN(MAX(MAX(H551,0)-'Tax Tables'!$B$27,0),'Tax Tables'!$B$29)*'Tax Tables'!$B$30,MIN(MAX(H551,0),'Tax Tables'!$B$23)*'Tax Tables'!$B$24+MIN(MAX(MAX(H551,0)-'Tax Tables'!$B$23,0),'Tax Tables'!$B$25)*'Tax Tables'!$B$26))*Calculator!$B$11,Calculator!$B$12)</f>
        <v>10710</v>
      </c>
      <c r="J551" s="11" t="n">
        <f aca="false">MAX(H551,0)-I551</f>
        <v>120290</v>
      </c>
      <c r="K551" s="11" t="n">
        <f aca="false">MIN(IF(A551&gt;0,Calculator!$B$13,0)+E551+Calculator!$B$14,'Tax Tables'!$B$36)</f>
        <v>1000</v>
      </c>
      <c r="L551" s="11" t="n">
        <f aca="false">MAX(A551-K551,0)</f>
        <v>268000</v>
      </c>
      <c r="M551" s="11" t="n">
        <f aca="false">SUMPRODUCT((L551&gt;'Tax Tables'!$A$5:$A$17)*(L551-'Tax Tables'!$A$5:$A$17)*'Tax Tables'!$C$5:$C$17)</f>
        <v>34210</v>
      </c>
      <c r="N551" s="11" t="n">
        <f aca="false">IF(H551&lt;0,-1E+099,A551-E551-M551+J551+(E551+F551)*Calculator!$B$9)</f>
        <v>355080</v>
      </c>
      <c r="O551" s="2"/>
      <c r="P551" s="11" t="n">
        <f aca="false">538*$B$3</f>
        <v>269000</v>
      </c>
      <c r="Q551" s="11" t="n">
        <f aca="false">MIN(P551,'Tax Tables'!$B$31*'Tax Tables'!$B$32)</f>
        <v>96000</v>
      </c>
      <c r="R551" s="11" t="n">
        <f aca="false">P551-Q551</f>
        <v>173000</v>
      </c>
      <c r="S551" s="11" t="n">
        <f aca="false">IF(Calculator!$B$6="Yes",MIN(Q551,'Tax Tables'!$B$31*'Tax Tables'!$B$32),0)</f>
        <v>96000</v>
      </c>
      <c r="T551" s="11" t="n">
        <f aca="false">S551*Calculator!$B$7</f>
        <v>19200</v>
      </c>
      <c r="U551" s="11" t="n">
        <f aca="false">S551*Calculator!$B$8</f>
        <v>16320</v>
      </c>
      <c r="V551" s="11" t="n">
        <f aca="false">IF(Q551&gt;0,'Tax Tables'!$B$32*MIN(MAX(Q551/'Tax Tables'!$B$32*'Tax Tables'!$B$33,'Tax Tables'!$B$34),'Tax Tables'!$B$35),0)</f>
        <v>135</v>
      </c>
      <c r="W551" s="11" t="n">
        <f aca="false">Calculator!$B$5-P551-U551-V551</f>
        <v>114545</v>
      </c>
      <c r="X551" s="11" t="n">
        <f aca="false">'Tax Tables'!$B$22*(MAX(W551,0)-IF(Calculator!$B$10="Yes",MIN(MAX(W551,0),'Tax Tables'!$B$27)*'Tax Tables'!$B$28+MIN(MAX(MAX(W551,0)-'Tax Tables'!$B$27,0),'Tax Tables'!$B$29)*'Tax Tables'!$B$30,MIN(MAX(W551,0),'Tax Tables'!$B$23)*'Tax Tables'!$B$24+MIN(MAX(MAX(W551,0)-'Tax Tables'!$B$23,0),'Tax Tables'!$B$25)*'Tax Tables'!$B$26))*1-MIN('Tax Tables'!$B$22*(MAX(W551,0)-IF(Calculator!$B$10="Yes",MIN(MAX(W551,0),'Tax Tables'!$B$27)*'Tax Tables'!$B$28+MIN(MAX(MAX(W551,0)-'Tax Tables'!$B$27,0),'Tax Tables'!$B$29)*'Tax Tables'!$B$30,MIN(MAX(W551,0),'Tax Tables'!$B$23)*'Tax Tables'!$B$24+MIN(MAX(MAX(W551,0)-'Tax Tables'!$B$23,0),'Tax Tables'!$B$25)*'Tax Tables'!$B$26))*Calculator!$B$11,Calculator!$B$12)</f>
        <v>9311.325</v>
      </c>
      <c r="Y551" s="11" t="n">
        <f aca="false">MAX(W551,0)-X551</f>
        <v>105233.675</v>
      </c>
      <c r="Z551" s="11" t="n">
        <f aca="false">MIN(IF(P551&gt;0,Calculator!$B$13,0)+T551+Calculator!$B$14,'Tax Tables'!$B$36)</f>
        <v>20200</v>
      </c>
      <c r="AA551" s="11" t="n">
        <f aca="false">MAX(P551-Z551,0)</f>
        <v>248800</v>
      </c>
      <c r="AB551" s="11" t="n">
        <f aca="false">SUMPRODUCT((AA551&gt;'Tax Tables'!$A$5:$A$17)*(AA551-'Tax Tables'!$A$5:$A$17)*'Tax Tables'!$C$5:$C$17)</f>
        <v>30466</v>
      </c>
      <c r="AC551" s="11" t="n">
        <f aca="false">IF(W551&lt;0,-1E+099,P551-T551-AB551+Y551+(T551+U551)*Calculator!$B$9)</f>
        <v>360087.675</v>
      </c>
    </row>
    <row r="552" customFormat="false" ht="15" hidden="false" customHeight="false" outlineLevel="0" collapsed="false">
      <c r="A552" s="11" t="n">
        <f aca="false">539*$B$3</f>
        <v>269500</v>
      </c>
      <c r="B552" s="11" t="n">
        <f aca="false">0</f>
        <v>0</v>
      </c>
      <c r="C552" s="11" t="n">
        <f aca="false">A552-B552</f>
        <v>269500</v>
      </c>
      <c r="D552" s="11" t="n">
        <f aca="false">IF(Calculator!$B$6="Yes",MIN(B552,'Tax Tables'!$B$31*'Tax Tables'!$B$32),0)</f>
        <v>0</v>
      </c>
      <c r="E552" s="11" t="n">
        <f aca="false">D552*Calculator!$B$7</f>
        <v>0</v>
      </c>
      <c r="F552" s="11" t="n">
        <f aca="false">D552*Calculator!$B$8</f>
        <v>0</v>
      </c>
      <c r="G552" s="11" t="n">
        <f aca="false">IF(B552&gt;0,'Tax Tables'!$B$32*MIN(MAX(B552/'Tax Tables'!$B$32*'Tax Tables'!$B$33,'Tax Tables'!$B$34),'Tax Tables'!$B$35),0)</f>
        <v>0</v>
      </c>
      <c r="H552" s="11" t="n">
        <f aca="false">Calculator!$B$5-A552-F552-G552</f>
        <v>130500</v>
      </c>
      <c r="I552" s="11" t="n">
        <f aca="false">'Tax Tables'!$B$22*(MAX(H552,0)-IF(Calculator!$B$10="Yes",MIN(MAX(H552,0),'Tax Tables'!$B$27)*'Tax Tables'!$B$28+MIN(MAX(MAX(H552,0)-'Tax Tables'!$B$27,0),'Tax Tables'!$B$29)*'Tax Tables'!$B$30,MIN(MAX(H552,0),'Tax Tables'!$B$23)*'Tax Tables'!$B$24+MIN(MAX(MAX(H552,0)-'Tax Tables'!$B$23,0),'Tax Tables'!$B$25)*'Tax Tables'!$B$26))*1-MIN('Tax Tables'!$B$22*(MAX(H552,0)-IF(Calculator!$B$10="Yes",MIN(MAX(H552,0),'Tax Tables'!$B$27)*'Tax Tables'!$B$28+MIN(MAX(MAX(H552,0)-'Tax Tables'!$B$27,0),'Tax Tables'!$B$29)*'Tax Tables'!$B$30,MIN(MAX(H552,0),'Tax Tables'!$B$23)*'Tax Tables'!$B$24+MIN(MAX(MAX(H552,0)-'Tax Tables'!$B$23,0),'Tax Tables'!$B$25)*'Tax Tables'!$B$26))*Calculator!$B$11,Calculator!$B$12)</f>
        <v>10667.5</v>
      </c>
      <c r="J552" s="11" t="n">
        <f aca="false">MAX(H552,0)-I552</f>
        <v>119832.5</v>
      </c>
      <c r="K552" s="11" t="n">
        <f aca="false">MIN(IF(A552&gt;0,Calculator!$B$13,0)+E552+Calculator!$B$14,'Tax Tables'!$B$36)</f>
        <v>1000</v>
      </c>
      <c r="L552" s="11" t="n">
        <f aca="false">MAX(A552-K552,0)</f>
        <v>268500</v>
      </c>
      <c r="M552" s="11" t="n">
        <f aca="false">SUMPRODUCT((L552&gt;'Tax Tables'!$A$5:$A$17)*(L552-'Tax Tables'!$A$5:$A$17)*'Tax Tables'!$C$5:$C$17)</f>
        <v>34307.5</v>
      </c>
      <c r="N552" s="11" t="n">
        <f aca="false">IF(H552&lt;0,-1E+099,A552-E552-M552+J552+(E552+F552)*Calculator!$B$9)</f>
        <v>355025</v>
      </c>
      <c r="O552" s="2"/>
      <c r="P552" s="11" t="n">
        <f aca="false">539*$B$3</f>
        <v>269500</v>
      </c>
      <c r="Q552" s="11" t="n">
        <f aca="false">MIN(P552,'Tax Tables'!$B$31*'Tax Tables'!$B$32)</f>
        <v>96000</v>
      </c>
      <c r="R552" s="11" t="n">
        <f aca="false">P552-Q552</f>
        <v>173500</v>
      </c>
      <c r="S552" s="11" t="n">
        <f aca="false">IF(Calculator!$B$6="Yes",MIN(Q552,'Tax Tables'!$B$31*'Tax Tables'!$B$32),0)</f>
        <v>96000</v>
      </c>
      <c r="T552" s="11" t="n">
        <f aca="false">S552*Calculator!$B$7</f>
        <v>19200</v>
      </c>
      <c r="U552" s="11" t="n">
        <f aca="false">S552*Calculator!$B$8</f>
        <v>16320</v>
      </c>
      <c r="V552" s="11" t="n">
        <f aca="false">IF(Q552&gt;0,'Tax Tables'!$B$32*MIN(MAX(Q552/'Tax Tables'!$B$32*'Tax Tables'!$B$33,'Tax Tables'!$B$34),'Tax Tables'!$B$35),0)</f>
        <v>135</v>
      </c>
      <c r="W552" s="11" t="n">
        <f aca="false">Calculator!$B$5-P552-U552-V552</f>
        <v>114045</v>
      </c>
      <c r="X552" s="11" t="n">
        <f aca="false">'Tax Tables'!$B$22*(MAX(W552,0)-IF(Calculator!$B$10="Yes",MIN(MAX(W552,0),'Tax Tables'!$B$27)*'Tax Tables'!$B$28+MIN(MAX(MAX(W552,0)-'Tax Tables'!$B$27,0),'Tax Tables'!$B$29)*'Tax Tables'!$B$30,MIN(MAX(W552,0),'Tax Tables'!$B$23)*'Tax Tables'!$B$24+MIN(MAX(MAX(W552,0)-'Tax Tables'!$B$23,0),'Tax Tables'!$B$25)*'Tax Tables'!$B$26))*1-MIN('Tax Tables'!$B$22*(MAX(W552,0)-IF(Calculator!$B$10="Yes",MIN(MAX(W552,0),'Tax Tables'!$B$27)*'Tax Tables'!$B$28+MIN(MAX(MAX(W552,0)-'Tax Tables'!$B$27,0),'Tax Tables'!$B$29)*'Tax Tables'!$B$30,MIN(MAX(W552,0),'Tax Tables'!$B$23)*'Tax Tables'!$B$24+MIN(MAX(MAX(W552,0)-'Tax Tables'!$B$23,0),'Tax Tables'!$B$25)*'Tax Tables'!$B$26))*Calculator!$B$11,Calculator!$B$12)</f>
        <v>9268.825</v>
      </c>
      <c r="Y552" s="11" t="n">
        <f aca="false">MAX(W552,0)-X552</f>
        <v>104776.175</v>
      </c>
      <c r="Z552" s="11" t="n">
        <f aca="false">MIN(IF(P552&gt;0,Calculator!$B$13,0)+T552+Calculator!$B$14,'Tax Tables'!$B$36)</f>
        <v>20200</v>
      </c>
      <c r="AA552" s="11" t="n">
        <f aca="false">MAX(P552-Z552,0)</f>
        <v>249300</v>
      </c>
      <c r="AB552" s="11" t="n">
        <f aca="false">SUMPRODUCT((AA552&gt;'Tax Tables'!$A$5:$A$17)*(AA552-'Tax Tables'!$A$5:$A$17)*'Tax Tables'!$C$5:$C$17)</f>
        <v>30563.5</v>
      </c>
      <c r="AC552" s="11" t="n">
        <f aca="false">IF(W552&lt;0,-1E+099,P552-T552-AB552+Y552+(T552+U552)*Calculator!$B$9)</f>
        <v>360032.675</v>
      </c>
    </row>
    <row r="553" customFormat="false" ht="15" hidden="false" customHeight="false" outlineLevel="0" collapsed="false">
      <c r="A553" s="11" t="n">
        <f aca="false">540*$B$3</f>
        <v>270000</v>
      </c>
      <c r="B553" s="11" t="n">
        <f aca="false">0</f>
        <v>0</v>
      </c>
      <c r="C553" s="11" t="n">
        <f aca="false">A553-B553</f>
        <v>270000</v>
      </c>
      <c r="D553" s="11" t="n">
        <f aca="false">IF(Calculator!$B$6="Yes",MIN(B553,'Tax Tables'!$B$31*'Tax Tables'!$B$32),0)</f>
        <v>0</v>
      </c>
      <c r="E553" s="11" t="n">
        <f aca="false">D553*Calculator!$B$7</f>
        <v>0</v>
      </c>
      <c r="F553" s="11" t="n">
        <f aca="false">D553*Calculator!$B$8</f>
        <v>0</v>
      </c>
      <c r="G553" s="11" t="n">
        <f aca="false">IF(B553&gt;0,'Tax Tables'!$B$32*MIN(MAX(B553/'Tax Tables'!$B$32*'Tax Tables'!$B$33,'Tax Tables'!$B$34),'Tax Tables'!$B$35),0)</f>
        <v>0</v>
      </c>
      <c r="H553" s="11" t="n">
        <f aca="false">Calculator!$B$5-A553-F553-G553</f>
        <v>130000</v>
      </c>
      <c r="I553" s="11" t="n">
        <f aca="false">'Tax Tables'!$B$22*(MAX(H553,0)-IF(Calculator!$B$10="Yes",MIN(MAX(H553,0),'Tax Tables'!$B$27)*'Tax Tables'!$B$28+MIN(MAX(MAX(H553,0)-'Tax Tables'!$B$27,0),'Tax Tables'!$B$29)*'Tax Tables'!$B$30,MIN(MAX(H553,0),'Tax Tables'!$B$23)*'Tax Tables'!$B$24+MIN(MAX(MAX(H553,0)-'Tax Tables'!$B$23,0),'Tax Tables'!$B$25)*'Tax Tables'!$B$26))*1-MIN('Tax Tables'!$B$22*(MAX(H553,0)-IF(Calculator!$B$10="Yes",MIN(MAX(H553,0),'Tax Tables'!$B$27)*'Tax Tables'!$B$28+MIN(MAX(MAX(H553,0)-'Tax Tables'!$B$27,0),'Tax Tables'!$B$29)*'Tax Tables'!$B$30,MIN(MAX(H553,0),'Tax Tables'!$B$23)*'Tax Tables'!$B$24+MIN(MAX(MAX(H553,0)-'Tax Tables'!$B$23,0),'Tax Tables'!$B$25)*'Tax Tables'!$B$26))*Calculator!$B$11,Calculator!$B$12)</f>
        <v>10625</v>
      </c>
      <c r="J553" s="11" t="n">
        <f aca="false">MAX(H553,0)-I553</f>
        <v>119375</v>
      </c>
      <c r="K553" s="11" t="n">
        <f aca="false">MIN(IF(A553&gt;0,Calculator!$B$13,0)+E553+Calculator!$B$14,'Tax Tables'!$B$36)</f>
        <v>1000</v>
      </c>
      <c r="L553" s="11" t="n">
        <f aca="false">MAX(A553-K553,0)</f>
        <v>269000</v>
      </c>
      <c r="M553" s="11" t="n">
        <f aca="false">SUMPRODUCT((L553&gt;'Tax Tables'!$A$5:$A$17)*(L553-'Tax Tables'!$A$5:$A$17)*'Tax Tables'!$C$5:$C$17)</f>
        <v>34405</v>
      </c>
      <c r="N553" s="11" t="n">
        <f aca="false">IF(H553&lt;0,-1E+099,A553-E553-M553+J553+(E553+F553)*Calculator!$B$9)</f>
        <v>354970</v>
      </c>
      <c r="O553" s="2"/>
      <c r="P553" s="11" t="n">
        <f aca="false">540*$B$3</f>
        <v>270000</v>
      </c>
      <c r="Q553" s="11" t="n">
        <f aca="false">MIN(P553,'Tax Tables'!$B$31*'Tax Tables'!$B$32)</f>
        <v>96000</v>
      </c>
      <c r="R553" s="11" t="n">
        <f aca="false">P553-Q553</f>
        <v>174000</v>
      </c>
      <c r="S553" s="11" t="n">
        <f aca="false">IF(Calculator!$B$6="Yes",MIN(Q553,'Tax Tables'!$B$31*'Tax Tables'!$B$32),0)</f>
        <v>96000</v>
      </c>
      <c r="T553" s="11" t="n">
        <f aca="false">S553*Calculator!$B$7</f>
        <v>19200</v>
      </c>
      <c r="U553" s="11" t="n">
        <f aca="false">S553*Calculator!$B$8</f>
        <v>16320</v>
      </c>
      <c r="V553" s="11" t="n">
        <f aca="false">IF(Q553&gt;0,'Tax Tables'!$B$32*MIN(MAX(Q553/'Tax Tables'!$B$32*'Tax Tables'!$B$33,'Tax Tables'!$B$34),'Tax Tables'!$B$35),0)</f>
        <v>135</v>
      </c>
      <c r="W553" s="11" t="n">
        <f aca="false">Calculator!$B$5-P553-U553-V553</f>
        <v>113545</v>
      </c>
      <c r="X553" s="11" t="n">
        <f aca="false">'Tax Tables'!$B$22*(MAX(W553,0)-IF(Calculator!$B$10="Yes",MIN(MAX(W553,0),'Tax Tables'!$B$27)*'Tax Tables'!$B$28+MIN(MAX(MAX(W553,0)-'Tax Tables'!$B$27,0),'Tax Tables'!$B$29)*'Tax Tables'!$B$30,MIN(MAX(W553,0),'Tax Tables'!$B$23)*'Tax Tables'!$B$24+MIN(MAX(MAX(W553,0)-'Tax Tables'!$B$23,0),'Tax Tables'!$B$25)*'Tax Tables'!$B$26))*1-MIN('Tax Tables'!$B$22*(MAX(W553,0)-IF(Calculator!$B$10="Yes",MIN(MAX(W553,0),'Tax Tables'!$B$27)*'Tax Tables'!$B$28+MIN(MAX(MAX(W553,0)-'Tax Tables'!$B$27,0),'Tax Tables'!$B$29)*'Tax Tables'!$B$30,MIN(MAX(W553,0),'Tax Tables'!$B$23)*'Tax Tables'!$B$24+MIN(MAX(MAX(W553,0)-'Tax Tables'!$B$23,0),'Tax Tables'!$B$25)*'Tax Tables'!$B$26))*Calculator!$B$11,Calculator!$B$12)</f>
        <v>9226.325</v>
      </c>
      <c r="Y553" s="11" t="n">
        <f aca="false">MAX(W553,0)-X553</f>
        <v>104318.675</v>
      </c>
      <c r="Z553" s="11" t="n">
        <f aca="false">MIN(IF(P553&gt;0,Calculator!$B$13,0)+T553+Calculator!$B$14,'Tax Tables'!$B$36)</f>
        <v>20200</v>
      </c>
      <c r="AA553" s="11" t="n">
        <f aca="false">MAX(P553-Z553,0)</f>
        <v>249800</v>
      </c>
      <c r="AB553" s="11" t="n">
        <f aca="false">SUMPRODUCT((AA553&gt;'Tax Tables'!$A$5:$A$17)*(AA553-'Tax Tables'!$A$5:$A$17)*'Tax Tables'!$C$5:$C$17)</f>
        <v>30661</v>
      </c>
      <c r="AC553" s="11" t="n">
        <f aca="false">IF(W553&lt;0,-1E+099,P553-T553-AB553+Y553+(T553+U553)*Calculator!$B$9)</f>
        <v>359977.675</v>
      </c>
    </row>
    <row r="554" customFormat="false" ht="15" hidden="false" customHeight="false" outlineLevel="0" collapsed="false">
      <c r="A554" s="11" t="n">
        <f aca="false">541*$B$3</f>
        <v>270500</v>
      </c>
      <c r="B554" s="11" t="n">
        <f aca="false">0</f>
        <v>0</v>
      </c>
      <c r="C554" s="11" t="n">
        <f aca="false">A554-B554</f>
        <v>270500</v>
      </c>
      <c r="D554" s="11" t="n">
        <f aca="false">IF(Calculator!$B$6="Yes",MIN(B554,'Tax Tables'!$B$31*'Tax Tables'!$B$32),0)</f>
        <v>0</v>
      </c>
      <c r="E554" s="11" t="n">
        <f aca="false">D554*Calculator!$B$7</f>
        <v>0</v>
      </c>
      <c r="F554" s="11" t="n">
        <f aca="false">D554*Calculator!$B$8</f>
        <v>0</v>
      </c>
      <c r="G554" s="11" t="n">
        <f aca="false">IF(B554&gt;0,'Tax Tables'!$B$32*MIN(MAX(B554/'Tax Tables'!$B$32*'Tax Tables'!$B$33,'Tax Tables'!$B$34),'Tax Tables'!$B$35),0)</f>
        <v>0</v>
      </c>
      <c r="H554" s="11" t="n">
        <f aca="false">Calculator!$B$5-A554-F554-G554</f>
        <v>129500</v>
      </c>
      <c r="I554" s="11" t="n">
        <f aca="false">'Tax Tables'!$B$22*(MAX(H554,0)-IF(Calculator!$B$10="Yes",MIN(MAX(H554,0),'Tax Tables'!$B$27)*'Tax Tables'!$B$28+MIN(MAX(MAX(H554,0)-'Tax Tables'!$B$27,0),'Tax Tables'!$B$29)*'Tax Tables'!$B$30,MIN(MAX(H554,0),'Tax Tables'!$B$23)*'Tax Tables'!$B$24+MIN(MAX(MAX(H554,0)-'Tax Tables'!$B$23,0),'Tax Tables'!$B$25)*'Tax Tables'!$B$26))*1-MIN('Tax Tables'!$B$22*(MAX(H554,0)-IF(Calculator!$B$10="Yes",MIN(MAX(H554,0),'Tax Tables'!$B$27)*'Tax Tables'!$B$28+MIN(MAX(MAX(H554,0)-'Tax Tables'!$B$27,0),'Tax Tables'!$B$29)*'Tax Tables'!$B$30,MIN(MAX(H554,0),'Tax Tables'!$B$23)*'Tax Tables'!$B$24+MIN(MAX(MAX(H554,0)-'Tax Tables'!$B$23,0),'Tax Tables'!$B$25)*'Tax Tables'!$B$26))*Calculator!$B$11,Calculator!$B$12)</f>
        <v>10582.5</v>
      </c>
      <c r="J554" s="11" t="n">
        <f aca="false">MAX(H554,0)-I554</f>
        <v>118917.5</v>
      </c>
      <c r="K554" s="11" t="n">
        <f aca="false">MIN(IF(A554&gt;0,Calculator!$B$13,0)+E554+Calculator!$B$14,'Tax Tables'!$B$36)</f>
        <v>1000</v>
      </c>
      <c r="L554" s="11" t="n">
        <f aca="false">MAX(A554-K554,0)</f>
        <v>269500</v>
      </c>
      <c r="M554" s="11" t="n">
        <f aca="false">SUMPRODUCT((L554&gt;'Tax Tables'!$A$5:$A$17)*(L554-'Tax Tables'!$A$5:$A$17)*'Tax Tables'!$C$5:$C$17)</f>
        <v>34502.5</v>
      </c>
      <c r="N554" s="11" t="n">
        <f aca="false">IF(H554&lt;0,-1E+099,A554-E554-M554+J554+(E554+F554)*Calculator!$B$9)</f>
        <v>354915</v>
      </c>
      <c r="O554" s="2"/>
      <c r="P554" s="11" t="n">
        <f aca="false">541*$B$3</f>
        <v>270500</v>
      </c>
      <c r="Q554" s="11" t="n">
        <f aca="false">MIN(P554,'Tax Tables'!$B$31*'Tax Tables'!$B$32)</f>
        <v>96000</v>
      </c>
      <c r="R554" s="11" t="n">
        <f aca="false">P554-Q554</f>
        <v>174500</v>
      </c>
      <c r="S554" s="11" t="n">
        <f aca="false">IF(Calculator!$B$6="Yes",MIN(Q554,'Tax Tables'!$B$31*'Tax Tables'!$B$32),0)</f>
        <v>96000</v>
      </c>
      <c r="T554" s="11" t="n">
        <f aca="false">S554*Calculator!$B$7</f>
        <v>19200</v>
      </c>
      <c r="U554" s="11" t="n">
        <f aca="false">S554*Calculator!$B$8</f>
        <v>16320</v>
      </c>
      <c r="V554" s="11" t="n">
        <f aca="false">IF(Q554&gt;0,'Tax Tables'!$B$32*MIN(MAX(Q554/'Tax Tables'!$B$32*'Tax Tables'!$B$33,'Tax Tables'!$B$34),'Tax Tables'!$B$35),0)</f>
        <v>135</v>
      </c>
      <c r="W554" s="11" t="n">
        <f aca="false">Calculator!$B$5-P554-U554-V554</f>
        <v>113045</v>
      </c>
      <c r="X554" s="11" t="n">
        <f aca="false">'Tax Tables'!$B$22*(MAX(W554,0)-IF(Calculator!$B$10="Yes",MIN(MAX(W554,0),'Tax Tables'!$B$27)*'Tax Tables'!$B$28+MIN(MAX(MAX(W554,0)-'Tax Tables'!$B$27,0),'Tax Tables'!$B$29)*'Tax Tables'!$B$30,MIN(MAX(W554,0),'Tax Tables'!$B$23)*'Tax Tables'!$B$24+MIN(MAX(MAX(W554,0)-'Tax Tables'!$B$23,0),'Tax Tables'!$B$25)*'Tax Tables'!$B$26))*1-MIN('Tax Tables'!$B$22*(MAX(W554,0)-IF(Calculator!$B$10="Yes",MIN(MAX(W554,0),'Tax Tables'!$B$27)*'Tax Tables'!$B$28+MIN(MAX(MAX(W554,0)-'Tax Tables'!$B$27,0),'Tax Tables'!$B$29)*'Tax Tables'!$B$30,MIN(MAX(W554,0),'Tax Tables'!$B$23)*'Tax Tables'!$B$24+MIN(MAX(MAX(W554,0)-'Tax Tables'!$B$23,0),'Tax Tables'!$B$25)*'Tax Tables'!$B$26))*Calculator!$B$11,Calculator!$B$12)</f>
        <v>9183.825</v>
      </c>
      <c r="Y554" s="11" t="n">
        <f aca="false">MAX(W554,0)-X554</f>
        <v>103861.175</v>
      </c>
      <c r="Z554" s="11" t="n">
        <f aca="false">MIN(IF(P554&gt;0,Calculator!$B$13,0)+T554+Calculator!$B$14,'Tax Tables'!$B$36)</f>
        <v>20200</v>
      </c>
      <c r="AA554" s="11" t="n">
        <f aca="false">MAX(P554-Z554,0)</f>
        <v>250300</v>
      </c>
      <c r="AB554" s="11" t="n">
        <f aca="false">SUMPRODUCT((AA554&gt;'Tax Tables'!$A$5:$A$17)*(AA554-'Tax Tables'!$A$5:$A$17)*'Tax Tables'!$C$5:$C$17)</f>
        <v>30758.5</v>
      </c>
      <c r="AC554" s="11" t="n">
        <f aca="false">IF(W554&lt;0,-1E+099,P554-T554-AB554+Y554+(T554+U554)*Calculator!$B$9)</f>
        <v>359922.675</v>
      </c>
    </row>
    <row r="555" customFormat="false" ht="15" hidden="false" customHeight="false" outlineLevel="0" collapsed="false">
      <c r="A555" s="11" t="n">
        <f aca="false">542*$B$3</f>
        <v>271000</v>
      </c>
      <c r="B555" s="11" t="n">
        <f aca="false">0</f>
        <v>0</v>
      </c>
      <c r="C555" s="11" t="n">
        <f aca="false">A555-B555</f>
        <v>271000</v>
      </c>
      <c r="D555" s="11" t="n">
        <f aca="false">IF(Calculator!$B$6="Yes",MIN(B555,'Tax Tables'!$B$31*'Tax Tables'!$B$32),0)</f>
        <v>0</v>
      </c>
      <c r="E555" s="11" t="n">
        <f aca="false">D555*Calculator!$B$7</f>
        <v>0</v>
      </c>
      <c r="F555" s="11" t="n">
        <f aca="false">D555*Calculator!$B$8</f>
        <v>0</v>
      </c>
      <c r="G555" s="11" t="n">
        <f aca="false">IF(B555&gt;0,'Tax Tables'!$B$32*MIN(MAX(B555/'Tax Tables'!$B$32*'Tax Tables'!$B$33,'Tax Tables'!$B$34),'Tax Tables'!$B$35),0)</f>
        <v>0</v>
      </c>
      <c r="H555" s="11" t="n">
        <f aca="false">Calculator!$B$5-A555-F555-G555</f>
        <v>129000</v>
      </c>
      <c r="I555" s="11" t="n">
        <f aca="false">'Tax Tables'!$B$22*(MAX(H555,0)-IF(Calculator!$B$10="Yes",MIN(MAX(H555,0),'Tax Tables'!$B$27)*'Tax Tables'!$B$28+MIN(MAX(MAX(H555,0)-'Tax Tables'!$B$27,0),'Tax Tables'!$B$29)*'Tax Tables'!$B$30,MIN(MAX(H555,0),'Tax Tables'!$B$23)*'Tax Tables'!$B$24+MIN(MAX(MAX(H555,0)-'Tax Tables'!$B$23,0),'Tax Tables'!$B$25)*'Tax Tables'!$B$26))*1-MIN('Tax Tables'!$B$22*(MAX(H555,0)-IF(Calculator!$B$10="Yes",MIN(MAX(H555,0),'Tax Tables'!$B$27)*'Tax Tables'!$B$28+MIN(MAX(MAX(H555,0)-'Tax Tables'!$B$27,0),'Tax Tables'!$B$29)*'Tax Tables'!$B$30,MIN(MAX(H555,0),'Tax Tables'!$B$23)*'Tax Tables'!$B$24+MIN(MAX(MAX(H555,0)-'Tax Tables'!$B$23,0),'Tax Tables'!$B$25)*'Tax Tables'!$B$26))*Calculator!$B$11,Calculator!$B$12)</f>
        <v>10540</v>
      </c>
      <c r="J555" s="11" t="n">
        <f aca="false">MAX(H555,0)-I555</f>
        <v>118460</v>
      </c>
      <c r="K555" s="11" t="n">
        <f aca="false">MIN(IF(A555&gt;0,Calculator!$B$13,0)+E555+Calculator!$B$14,'Tax Tables'!$B$36)</f>
        <v>1000</v>
      </c>
      <c r="L555" s="11" t="n">
        <f aca="false">MAX(A555-K555,0)</f>
        <v>270000</v>
      </c>
      <c r="M555" s="11" t="n">
        <f aca="false">SUMPRODUCT((L555&gt;'Tax Tables'!$A$5:$A$17)*(L555-'Tax Tables'!$A$5:$A$17)*'Tax Tables'!$C$5:$C$17)</f>
        <v>34600</v>
      </c>
      <c r="N555" s="11" t="n">
        <f aca="false">IF(H555&lt;0,-1E+099,A555-E555-M555+J555+(E555+F555)*Calculator!$B$9)</f>
        <v>354860</v>
      </c>
      <c r="O555" s="2"/>
      <c r="P555" s="11" t="n">
        <f aca="false">542*$B$3</f>
        <v>271000</v>
      </c>
      <c r="Q555" s="11" t="n">
        <f aca="false">MIN(P555,'Tax Tables'!$B$31*'Tax Tables'!$B$32)</f>
        <v>96000</v>
      </c>
      <c r="R555" s="11" t="n">
        <f aca="false">P555-Q555</f>
        <v>175000</v>
      </c>
      <c r="S555" s="11" t="n">
        <f aca="false">IF(Calculator!$B$6="Yes",MIN(Q555,'Tax Tables'!$B$31*'Tax Tables'!$B$32),0)</f>
        <v>96000</v>
      </c>
      <c r="T555" s="11" t="n">
        <f aca="false">S555*Calculator!$B$7</f>
        <v>19200</v>
      </c>
      <c r="U555" s="11" t="n">
        <f aca="false">S555*Calculator!$B$8</f>
        <v>16320</v>
      </c>
      <c r="V555" s="11" t="n">
        <f aca="false">IF(Q555&gt;0,'Tax Tables'!$B$32*MIN(MAX(Q555/'Tax Tables'!$B$32*'Tax Tables'!$B$33,'Tax Tables'!$B$34),'Tax Tables'!$B$35),0)</f>
        <v>135</v>
      </c>
      <c r="W555" s="11" t="n">
        <f aca="false">Calculator!$B$5-P555-U555-V555</f>
        <v>112545</v>
      </c>
      <c r="X555" s="11" t="n">
        <f aca="false">'Tax Tables'!$B$22*(MAX(W555,0)-IF(Calculator!$B$10="Yes",MIN(MAX(W555,0),'Tax Tables'!$B$27)*'Tax Tables'!$B$28+MIN(MAX(MAX(W555,0)-'Tax Tables'!$B$27,0),'Tax Tables'!$B$29)*'Tax Tables'!$B$30,MIN(MAX(W555,0),'Tax Tables'!$B$23)*'Tax Tables'!$B$24+MIN(MAX(MAX(W555,0)-'Tax Tables'!$B$23,0),'Tax Tables'!$B$25)*'Tax Tables'!$B$26))*1-MIN('Tax Tables'!$B$22*(MAX(W555,0)-IF(Calculator!$B$10="Yes",MIN(MAX(W555,0),'Tax Tables'!$B$27)*'Tax Tables'!$B$28+MIN(MAX(MAX(W555,0)-'Tax Tables'!$B$27,0),'Tax Tables'!$B$29)*'Tax Tables'!$B$30,MIN(MAX(W555,0),'Tax Tables'!$B$23)*'Tax Tables'!$B$24+MIN(MAX(MAX(W555,0)-'Tax Tables'!$B$23,0),'Tax Tables'!$B$25)*'Tax Tables'!$B$26))*Calculator!$B$11,Calculator!$B$12)</f>
        <v>9141.325</v>
      </c>
      <c r="Y555" s="11" t="n">
        <f aca="false">MAX(W555,0)-X555</f>
        <v>103403.675</v>
      </c>
      <c r="Z555" s="11" t="n">
        <f aca="false">MIN(IF(P555&gt;0,Calculator!$B$13,0)+T555+Calculator!$B$14,'Tax Tables'!$B$36)</f>
        <v>20200</v>
      </c>
      <c r="AA555" s="11" t="n">
        <f aca="false">MAX(P555-Z555,0)</f>
        <v>250800</v>
      </c>
      <c r="AB555" s="11" t="n">
        <f aca="false">SUMPRODUCT((AA555&gt;'Tax Tables'!$A$5:$A$17)*(AA555-'Tax Tables'!$A$5:$A$17)*'Tax Tables'!$C$5:$C$17)</f>
        <v>30856</v>
      </c>
      <c r="AC555" s="11" t="n">
        <f aca="false">IF(W555&lt;0,-1E+099,P555-T555-AB555+Y555+(T555+U555)*Calculator!$B$9)</f>
        <v>359867.675</v>
      </c>
    </row>
    <row r="556" customFormat="false" ht="15" hidden="false" customHeight="false" outlineLevel="0" collapsed="false">
      <c r="A556" s="11" t="n">
        <f aca="false">543*$B$3</f>
        <v>271500</v>
      </c>
      <c r="B556" s="11" t="n">
        <f aca="false">0</f>
        <v>0</v>
      </c>
      <c r="C556" s="11" t="n">
        <f aca="false">A556-B556</f>
        <v>271500</v>
      </c>
      <c r="D556" s="11" t="n">
        <f aca="false">IF(Calculator!$B$6="Yes",MIN(B556,'Tax Tables'!$B$31*'Tax Tables'!$B$32),0)</f>
        <v>0</v>
      </c>
      <c r="E556" s="11" t="n">
        <f aca="false">D556*Calculator!$B$7</f>
        <v>0</v>
      </c>
      <c r="F556" s="11" t="n">
        <f aca="false">D556*Calculator!$B$8</f>
        <v>0</v>
      </c>
      <c r="G556" s="11" t="n">
        <f aca="false">IF(B556&gt;0,'Tax Tables'!$B$32*MIN(MAX(B556/'Tax Tables'!$B$32*'Tax Tables'!$B$33,'Tax Tables'!$B$34),'Tax Tables'!$B$35),0)</f>
        <v>0</v>
      </c>
      <c r="H556" s="11" t="n">
        <f aca="false">Calculator!$B$5-A556-F556-G556</f>
        <v>128500</v>
      </c>
      <c r="I556" s="11" t="n">
        <f aca="false">'Tax Tables'!$B$22*(MAX(H556,0)-IF(Calculator!$B$10="Yes",MIN(MAX(H556,0),'Tax Tables'!$B$27)*'Tax Tables'!$B$28+MIN(MAX(MAX(H556,0)-'Tax Tables'!$B$27,0),'Tax Tables'!$B$29)*'Tax Tables'!$B$30,MIN(MAX(H556,0),'Tax Tables'!$B$23)*'Tax Tables'!$B$24+MIN(MAX(MAX(H556,0)-'Tax Tables'!$B$23,0),'Tax Tables'!$B$25)*'Tax Tables'!$B$26))*1-MIN('Tax Tables'!$B$22*(MAX(H556,0)-IF(Calculator!$B$10="Yes",MIN(MAX(H556,0),'Tax Tables'!$B$27)*'Tax Tables'!$B$28+MIN(MAX(MAX(H556,0)-'Tax Tables'!$B$27,0),'Tax Tables'!$B$29)*'Tax Tables'!$B$30,MIN(MAX(H556,0),'Tax Tables'!$B$23)*'Tax Tables'!$B$24+MIN(MAX(MAX(H556,0)-'Tax Tables'!$B$23,0),'Tax Tables'!$B$25)*'Tax Tables'!$B$26))*Calculator!$B$11,Calculator!$B$12)</f>
        <v>10497.5</v>
      </c>
      <c r="J556" s="11" t="n">
        <f aca="false">MAX(H556,0)-I556</f>
        <v>118002.5</v>
      </c>
      <c r="K556" s="11" t="n">
        <f aca="false">MIN(IF(A556&gt;0,Calculator!$B$13,0)+E556+Calculator!$B$14,'Tax Tables'!$B$36)</f>
        <v>1000</v>
      </c>
      <c r="L556" s="11" t="n">
        <f aca="false">MAX(A556-K556,0)</f>
        <v>270500</v>
      </c>
      <c r="M556" s="11" t="n">
        <f aca="false">SUMPRODUCT((L556&gt;'Tax Tables'!$A$5:$A$17)*(L556-'Tax Tables'!$A$5:$A$17)*'Tax Tables'!$C$5:$C$17)</f>
        <v>34697.5</v>
      </c>
      <c r="N556" s="11" t="n">
        <f aca="false">IF(H556&lt;0,-1E+099,A556-E556-M556+J556+(E556+F556)*Calculator!$B$9)</f>
        <v>354805</v>
      </c>
      <c r="O556" s="2"/>
      <c r="P556" s="11" t="n">
        <f aca="false">543*$B$3</f>
        <v>271500</v>
      </c>
      <c r="Q556" s="11" t="n">
        <f aca="false">MIN(P556,'Tax Tables'!$B$31*'Tax Tables'!$B$32)</f>
        <v>96000</v>
      </c>
      <c r="R556" s="11" t="n">
        <f aca="false">P556-Q556</f>
        <v>175500</v>
      </c>
      <c r="S556" s="11" t="n">
        <f aca="false">IF(Calculator!$B$6="Yes",MIN(Q556,'Tax Tables'!$B$31*'Tax Tables'!$B$32),0)</f>
        <v>96000</v>
      </c>
      <c r="T556" s="11" t="n">
        <f aca="false">S556*Calculator!$B$7</f>
        <v>19200</v>
      </c>
      <c r="U556" s="11" t="n">
        <f aca="false">S556*Calculator!$B$8</f>
        <v>16320</v>
      </c>
      <c r="V556" s="11" t="n">
        <f aca="false">IF(Q556&gt;0,'Tax Tables'!$B$32*MIN(MAX(Q556/'Tax Tables'!$B$32*'Tax Tables'!$B$33,'Tax Tables'!$B$34),'Tax Tables'!$B$35),0)</f>
        <v>135</v>
      </c>
      <c r="W556" s="11" t="n">
        <f aca="false">Calculator!$B$5-P556-U556-V556</f>
        <v>112045</v>
      </c>
      <c r="X556" s="11" t="n">
        <f aca="false">'Tax Tables'!$B$22*(MAX(W556,0)-IF(Calculator!$B$10="Yes",MIN(MAX(W556,0),'Tax Tables'!$B$27)*'Tax Tables'!$B$28+MIN(MAX(MAX(W556,0)-'Tax Tables'!$B$27,0),'Tax Tables'!$B$29)*'Tax Tables'!$B$30,MIN(MAX(W556,0),'Tax Tables'!$B$23)*'Tax Tables'!$B$24+MIN(MAX(MAX(W556,0)-'Tax Tables'!$B$23,0),'Tax Tables'!$B$25)*'Tax Tables'!$B$26))*1-MIN('Tax Tables'!$B$22*(MAX(W556,0)-IF(Calculator!$B$10="Yes",MIN(MAX(W556,0),'Tax Tables'!$B$27)*'Tax Tables'!$B$28+MIN(MAX(MAX(W556,0)-'Tax Tables'!$B$27,0),'Tax Tables'!$B$29)*'Tax Tables'!$B$30,MIN(MAX(W556,0),'Tax Tables'!$B$23)*'Tax Tables'!$B$24+MIN(MAX(MAX(W556,0)-'Tax Tables'!$B$23,0),'Tax Tables'!$B$25)*'Tax Tables'!$B$26))*Calculator!$B$11,Calculator!$B$12)</f>
        <v>9098.825</v>
      </c>
      <c r="Y556" s="11" t="n">
        <f aca="false">MAX(W556,0)-X556</f>
        <v>102946.175</v>
      </c>
      <c r="Z556" s="11" t="n">
        <f aca="false">MIN(IF(P556&gt;0,Calculator!$B$13,0)+T556+Calculator!$B$14,'Tax Tables'!$B$36)</f>
        <v>20200</v>
      </c>
      <c r="AA556" s="11" t="n">
        <f aca="false">MAX(P556-Z556,0)</f>
        <v>251300</v>
      </c>
      <c r="AB556" s="11" t="n">
        <f aca="false">SUMPRODUCT((AA556&gt;'Tax Tables'!$A$5:$A$17)*(AA556-'Tax Tables'!$A$5:$A$17)*'Tax Tables'!$C$5:$C$17)</f>
        <v>30953.5</v>
      </c>
      <c r="AC556" s="11" t="n">
        <f aca="false">IF(W556&lt;0,-1E+099,P556-T556-AB556+Y556+(T556+U556)*Calculator!$B$9)</f>
        <v>359812.675</v>
      </c>
    </row>
    <row r="557" customFormat="false" ht="15" hidden="false" customHeight="false" outlineLevel="0" collapsed="false">
      <c r="A557" s="11" t="n">
        <f aca="false">544*$B$3</f>
        <v>272000</v>
      </c>
      <c r="B557" s="11" t="n">
        <f aca="false">0</f>
        <v>0</v>
      </c>
      <c r="C557" s="11" t="n">
        <f aca="false">A557-B557</f>
        <v>272000</v>
      </c>
      <c r="D557" s="11" t="n">
        <f aca="false">IF(Calculator!$B$6="Yes",MIN(B557,'Tax Tables'!$B$31*'Tax Tables'!$B$32),0)</f>
        <v>0</v>
      </c>
      <c r="E557" s="11" t="n">
        <f aca="false">D557*Calculator!$B$7</f>
        <v>0</v>
      </c>
      <c r="F557" s="11" t="n">
        <f aca="false">D557*Calculator!$B$8</f>
        <v>0</v>
      </c>
      <c r="G557" s="11" t="n">
        <f aca="false">IF(B557&gt;0,'Tax Tables'!$B$32*MIN(MAX(B557/'Tax Tables'!$B$32*'Tax Tables'!$B$33,'Tax Tables'!$B$34),'Tax Tables'!$B$35),0)</f>
        <v>0</v>
      </c>
      <c r="H557" s="11" t="n">
        <f aca="false">Calculator!$B$5-A557-F557-G557</f>
        <v>128000</v>
      </c>
      <c r="I557" s="11" t="n">
        <f aca="false">'Tax Tables'!$B$22*(MAX(H557,0)-IF(Calculator!$B$10="Yes",MIN(MAX(H557,0),'Tax Tables'!$B$27)*'Tax Tables'!$B$28+MIN(MAX(MAX(H557,0)-'Tax Tables'!$B$27,0),'Tax Tables'!$B$29)*'Tax Tables'!$B$30,MIN(MAX(H557,0),'Tax Tables'!$B$23)*'Tax Tables'!$B$24+MIN(MAX(MAX(H557,0)-'Tax Tables'!$B$23,0),'Tax Tables'!$B$25)*'Tax Tables'!$B$26))*1-MIN('Tax Tables'!$B$22*(MAX(H557,0)-IF(Calculator!$B$10="Yes",MIN(MAX(H557,0),'Tax Tables'!$B$27)*'Tax Tables'!$B$28+MIN(MAX(MAX(H557,0)-'Tax Tables'!$B$27,0),'Tax Tables'!$B$29)*'Tax Tables'!$B$30,MIN(MAX(H557,0),'Tax Tables'!$B$23)*'Tax Tables'!$B$24+MIN(MAX(MAX(H557,0)-'Tax Tables'!$B$23,0),'Tax Tables'!$B$25)*'Tax Tables'!$B$26))*Calculator!$B$11,Calculator!$B$12)</f>
        <v>10455</v>
      </c>
      <c r="J557" s="11" t="n">
        <f aca="false">MAX(H557,0)-I557</f>
        <v>117545</v>
      </c>
      <c r="K557" s="11" t="n">
        <f aca="false">MIN(IF(A557&gt;0,Calculator!$B$13,0)+E557+Calculator!$B$14,'Tax Tables'!$B$36)</f>
        <v>1000</v>
      </c>
      <c r="L557" s="11" t="n">
        <f aca="false">MAX(A557-K557,0)</f>
        <v>271000</v>
      </c>
      <c r="M557" s="11" t="n">
        <f aca="false">SUMPRODUCT((L557&gt;'Tax Tables'!$A$5:$A$17)*(L557-'Tax Tables'!$A$5:$A$17)*'Tax Tables'!$C$5:$C$17)</f>
        <v>34795</v>
      </c>
      <c r="N557" s="11" t="n">
        <f aca="false">IF(H557&lt;0,-1E+099,A557-E557-M557+J557+(E557+F557)*Calculator!$B$9)</f>
        <v>354750</v>
      </c>
      <c r="O557" s="2"/>
      <c r="P557" s="11" t="n">
        <f aca="false">544*$B$3</f>
        <v>272000</v>
      </c>
      <c r="Q557" s="11" t="n">
        <f aca="false">MIN(P557,'Tax Tables'!$B$31*'Tax Tables'!$B$32)</f>
        <v>96000</v>
      </c>
      <c r="R557" s="11" t="n">
        <f aca="false">P557-Q557</f>
        <v>176000</v>
      </c>
      <c r="S557" s="11" t="n">
        <f aca="false">IF(Calculator!$B$6="Yes",MIN(Q557,'Tax Tables'!$B$31*'Tax Tables'!$B$32),0)</f>
        <v>96000</v>
      </c>
      <c r="T557" s="11" t="n">
        <f aca="false">S557*Calculator!$B$7</f>
        <v>19200</v>
      </c>
      <c r="U557" s="11" t="n">
        <f aca="false">S557*Calculator!$B$8</f>
        <v>16320</v>
      </c>
      <c r="V557" s="11" t="n">
        <f aca="false">IF(Q557&gt;0,'Tax Tables'!$B$32*MIN(MAX(Q557/'Tax Tables'!$B$32*'Tax Tables'!$B$33,'Tax Tables'!$B$34),'Tax Tables'!$B$35),0)</f>
        <v>135</v>
      </c>
      <c r="W557" s="11" t="n">
        <f aca="false">Calculator!$B$5-P557-U557-V557</f>
        <v>111545</v>
      </c>
      <c r="X557" s="11" t="n">
        <f aca="false">'Tax Tables'!$B$22*(MAX(W557,0)-IF(Calculator!$B$10="Yes",MIN(MAX(W557,0),'Tax Tables'!$B$27)*'Tax Tables'!$B$28+MIN(MAX(MAX(W557,0)-'Tax Tables'!$B$27,0),'Tax Tables'!$B$29)*'Tax Tables'!$B$30,MIN(MAX(W557,0),'Tax Tables'!$B$23)*'Tax Tables'!$B$24+MIN(MAX(MAX(W557,0)-'Tax Tables'!$B$23,0),'Tax Tables'!$B$25)*'Tax Tables'!$B$26))*1-MIN('Tax Tables'!$B$22*(MAX(W557,0)-IF(Calculator!$B$10="Yes",MIN(MAX(W557,0),'Tax Tables'!$B$27)*'Tax Tables'!$B$28+MIN(MAX(MAX(W557,0)-'Tax Tables'!$B$27,0),'Tax Tables'!$B$29)*'Tax Tables'!$B$30,MIN(MAX(W557,0),'Tax Tables'!$B$23)*'Tax Tables'!$B$24+MIN(MAX(MAX(W557,0)-'Tax Tables'!$B$23,0),'Tax Tables'!$B$25)*'Tax Tables'!$B$26))*Calculator!$B$11,Calculator!$B$12)</f>
        <v>9056.325</v>
      </c>
      <c r="Y557" s="11" t="n">
        <f aca="false">MAX(W557,0)-X557</f>
        <v>102488.675</v>
      </c>
      <c r="Z557" s="11" t="n">
        <f aca="false">MIN(IF(P557&gt;0,Calculator!$B$13,0)+T557+Calculator!$B$14,'Tax Tables'!$B$36)</f>
        <v>20200</v>
      </c>
      <c r="AA557" s="11" t="n">
        <f aca="false">MAX(P557-Z557,0)</f>
        <v>251800</v>
      </c>
      <c r="AB557" s="11" t="n">
        <f aca="false">SUMPRODUCT((AA557&gt;'Tax Tables'!$A$5:$A$17)*(AA557-'Tax Tables'!$A$5:$A$17)*'Tax Tables'!$C$5:$C$17)</f>
        <v>31051</v>
      </c>
      <c r="AC557" s="11" t="n">
        <f aca="false">IF(W557&lt;0,-1E+099,P557-T557-AB557+Y557+(T557+U557)*Calculator!$B$9)</f>
        <v>359757.675</v>
      </c>
    </row>
    <row r="558" customFormat="false" ht="15" hidden="false" customHeight="false" outlineLevel="0" collapsed="false">
      <c r="A558" s="11" t="n">
        <f aca="false">545*$B$3</f>
        <v>272500</v>
      </c>
      <c r="B558" s="11" t="n">
        <f aca="false">0</f>
        <v>0</v>
      </c>
      <c r="C558" s="11" t="n">
        <f aca="false">A558-B558</f>
        <v>272500</v>
      </c>
      <c r="D558" s="11" t="n">
        <f aca="false">IF(Calculator!$B$6="Yes",MIN(B558,'Tax Tables'!$B$31*'Tax Tables'!$B$32),0)</f>
        <v>0</v>
      </c>
      <c r="E558" s="11" t="n">
        <f aca="false">D558*Calculator!$B$7</f>
        <v>0</v>
      </c>
      <c r="F558" s="11" t="n">
        <f aca="false">D558*Calculator!$B$8</f>
        <v>0</v>
      </c>
      <c r="G558" s="11" t="n">
        <f aca="false">IF(B558&gt;0,'Tax Tables'!$B$32*MIN(MAX(B558/'Tax Tables'!$B$32*'Tax Tables'!$B$33,'Tax Tables'!$B$34),'Tax Tables'!$B$35),0)</f>
        <v>0</v>
      </c>
      <c r="H558" s="11" t="n">
        <f aca="false">Calculator!$B$5-A558-F558-G558</f>
        <v>127500</v>
      </c>
      <c r="I558" s="11" t="n">
        <f aca="false">'Tax Tables'!$B$22*(MAX(H558,0)-IF(Calculator!$B$10="Yes",MIN(MAX(H558,0),'Tax Tables'!$B$27)*'Tax Tables'!$B$28+MIN(MAX(MAX(H558,0)-'Tax Tables'!$B$27,0),'Tax Tables'!$B$29)*'Tax Tables'!$B$30,MIN(MAX(H558,0),'Tax Tables'!$B$23)*'Tax Tables'!$B$24+MIN(MAX(MAX(H558,0)-'Tax Tables'!$B$23,0),'Tax Tables'!$B$25)*'Tax Tables'!$B$26))*1-MIN('Tax Tables'!$B$22*(MAX(H558,0)-IF(Calculator!$B$10="Yes",MIN(MAX(H558,0),'Tax Tables'!$B$27)*'Tax Tables'!$B$28+MIN(MAX(MAX(H558,0)-'Tax Tables'!$B$27,0),'Tax Tables'!$B$29)*'Tax Tables'!$B$30,MIN(MAX(H558,0),'Tax Tables'!$B$23)*'Tax Tables'!$B$24+MIN(MAX(MAX(H558,0)-'Tax Tables'!$B$23,0),'Tax Tables'!$B$25)*'Tax Tables'!$B$26))*Calculator!$B$11,Calculator!$B$12)</f>
        <v>10412.5</v>
      </c>
      <c r="J558" s="11" t="n">
        <f aca="false">MAX(H558,0)-I558</f>
        <v>117087.5</v>
      </c>
      <c r="K558" s="11" t="n">
        <f aca="false">MIN(IF(A558&gt;0,Calculator!$B$13,0)+E558+Calculator!$B$14,'Tax Tables'!$B$36)</f>
        <v>1000</v>
      </c>
      <c r="L558" s="11" t="n">
        <f aca="false">MAX(A558-K558,0)</f>
        <v>271500</v>
      </c>
      <c r="M558" s="11" t="n">
        <f aca="false">SUMPRODUCT((L558&gt;'Tax Tables'!$A$5:$A$17)*(L558-'Tax Tables'!$A$5:$A$17)*'Tax Tables'!$C$5:$C$17)</f>
        <v>34892.5</v>
      </c>
      <c r="N558" s="11" t="n">
        <f aca="false">IF(H558&lt;0,-1E+099,A558-E558-M558+J558+(E558+F558)*Calculator!$B$9)</f>
        <v>354695</v>
      </c>
      <c r="O558" s="2"/>
      <c r="P558" s="11" t="n">
        <f aca="false">545*$B$3</f>
        <v>272500</v>
      </c>
      <c r="Q558" s="11" t="n">
        <f aca="false">MIN(P558,'Tax Tables'!$B$31*'Tax Tables'!$B$32)</f>
        <v>96000</v>
      </c>
      <c r="R558" s="11" t="n">
        <f aca="false">P558-Q558</f>
        <v>176500</v>
      </c>
      <c r="S558" s="11" t="n">
        <f aca="false">IF(Calculator!$B$6="Yes",MIN(Q558,'Tax Tables'!$B$31*'Tax Tables'!$B$32),0)</f>
        <v>96000</v>
      </c>
      <c r="T558" s="11" t="n">
        <f aca="false">S558*Calculator!$B$7</f>
        <v>19200</v>
      </c>
      <c r="U558" s="11" t="n">
        <f aca="false">S558*Calculator!$B$8</f>
        <v>16320</v>
      </c>
      <c r="V558" s="11" t="n">
        <f aca="false">IF(Q558&gt;0,'Tax Tables'!$B$32*MIN(MAX(Q558/'Tax Tables'!$B$32*'Tax Tables'!$B$33,'Tax Tables'!$B$34),'Tax Tables'!$B$35),0)</f>
        <v>135</v>
      </c>
      <c r="W558" s="11" t="n">
        <f aca="false">Calculator!$B$5-P558-U558-V558</f>
        <v>111045</v>
      </c>
      <c r="X558" s="11" t="n">
        <f aca="false">'Tax Tables'!$B$22*(MAX(W558,0)-IF(Calculator!$B$10="Yes",MIN(MAX(W558,0),'Tax Tables'!$B$27)*'Tax Tables'!$B$28+MIN(MAX(MAX(W558,0)-'Tax Tables'!$B$27,0),'Tax Tables'!$B$29)*'Tax Tables'!$B$30,MIN(MAX(W558,0),'Tax Tables'!$B$23)*'Tax Tables'!$B$24+MIN(MAX(MAX(W558,0)-'Tax Tables'!$B$23,0),'Tax Tables'!$B$25)*'Tax Tables'!$B$26))*1-MIN('Tax Tables'!$B$22*(MAX(W558,0)-IF(Calculator!$B$10="Yes",MIN(MAX(W558,0),'Tax Tables'!$B$27)*'Tax Tables'!$B$28+MIN(MAX(MAX(W558,0)-'Tax Tables'!$B$27,0),'Tax Tables'!$B$29)*'Tax Tables'!$B$30,MIN(MAX(W558,0),'Tax Tables'!$B$23)*'Tax Tables'!$B$24+MIN(MAX(MAX(W558,0)-'Tax Tables'!$B$23,0),'Tax Tables'!$B$25)*'Tax Tables'!$B$26))*Calculator!$B$11,Calculator!$B$12)</f>
        <v>9013.825</v>
      </c>
      <c r="Y558" s="11" t="n">
        <f aca="false">MAX(W558,0)-X558</f>
        <v>102031.175</v>
      </c>
      <c r="Z558" s="11" t="n">
        <f aca="false">MIN(IF(P558&gt;0,Calculator!$B$13,0)+T558+Calculator!$B$14,'Tax Tables'!$B$36)</f>
        <v>20200</v>
      </c>
      <c r="AA558" s="11" t="n">
        <f aca="false">MAX(P558-Z558,0)</f>
        <v>252300</v>
      </c>
      <c r="AB558" s="11" t="n">
        <f aca="false">SUMPRODUCT((AA558&gt;'Tax Tables'!$A$5:$A$17)*(AA558-'Tax Tables'!$A$5:$A$17)*'Tax Tables'!$C$5:$C$17)</f>
        <v>31148.5</v>
      </c>
      <c r="AC558" s="11" t="n">
        <f aca="false">IF(W558&lt;0,-1E+099,P558-T558-AB558+Y558+(T558+U558)*Calculator!$B$9)</f>
        <v>359702.675</v>
      </c>
    </row>
    <row r="559" customFormat="false" ht="15" hidden="false" customHeight="false" outlineLevel="0" collapsed="false">
      <c r="A559" s="11" t="n">
        <f aca="false">546*$B$3</f>
        <v>273000</v>
      </c>
      <c r="B559" s="11" t="n">
        <f aca="false">0</f>
        <v>0</v>
      </c>
      <c r="C559" s="11" t="n">
        <f aca="false">A559-B559</f>
        <v>273000</v>
      </c>
      <c r="D559" s="11" t="n">
        <f aca="false">IF(Calculator!$B$6="Yes",MIN(B559,'Tax Tables'!$B$31*'Tax Tables'!$B$32),0)</f>
        <v>0</v>
      </c>
      <c r="E559" s="11" t="n">
        <f aca="false">D559*Calculator!$B$7</f>
        <v>0</v>
      </c>
      <c r="F559" s="11" t="n">
        <f aca="false">D559*Calculator!$B$8</f>
        <v>0</v>
      </c>
      <c r="G559" s="11" t="n">
        <f aca="false">IF(B559&gt;0,'Tax Tables'!$B$32*MIN(MAX(B559/'Tax Tables'!$B$32*'Tax Tables'!$B$33,'Tax Tables'!$B$34),'Tax Tables'!$B$35),0)</f>
        <v>0</v>
      </c>
      <c r="H559" s="11" t="n">
        <f aca="false">Calculator!$B$5-A559-F559-G559</f>
        <v>127000</v>
      </c>
      <c r="I559" s="11" t="n">
        <f aca="false">'Tax Tables'!$B$22*(MAX(H559,0)-IF(Calculator!$B$10="Yes",MIN(MAX(H559,0),'Tax Tables'!$B$27)*'Tax Tables'!$B$28+MIN(MAX(MAX(H559,0)-'Tax Tables'!$B$27,0),'Tax Tables'!$B$29)*'Tax Tables'!$B$30,MIN(MAX(H559,0),'Tax Tables'!$B$23)*'Tax Tables'!$B$24+MIN(MAX(MAX(H559,0)-'Tax Tables'!$B$23,0),'Tax Tables'!$B$25)*'Tax Tables'!$B$26))*1-MIN('Tax Tables'!$B$22*(MAX(H559,0)-IF(Calculator!$B$10="Yes",MIN(MAX(H559,0),'Tax Tables'!$B$27)*'Tax Tables'!$B$28+MIN(MAX(MAX(H559,0)-'Tax Tables'!$B$27,0),'Tax Tables'!$B$29)*'Tax Tables'!$B$30,MIN(MAX(H559,0),'Tax Tables'!$B$23)*'Tax Tables'!$B$24+MIN(MAX(MAX(H559,0)-'Tax Tables'!$B$23,0),'Tax Tables'!$B$25)*'Tax Tables'!$B$26))*Calculator!$B$11,Calculator!$B$12)</f>
        <v>10370</v>
      </c>
      <c r="J559" s="11" t="n">
        <f aca="false">MAX(H559,0)-I559</f>
        <v>116630</v>
      </c>
      <c r="K559" s="11" t="n">
        <f aca="false">MIN(IF(A559&gt;0,Calculator!$B$13,0)+E559+Calculator!$B$14,'Tax Tables'!$B$36)</f>
        <v>1000</v>
      </c>
      <c r="L559" s="11" t="n">
        <f aca="false">MAX(A559-K559,0)</f>
        <v>272000</v>
      </c>
      <c r="M559" s="11" t="n">
        <f aca="false">SUMPRODUCT((L559&gt;'Tax Tables'!$A$5:$A$17)*(L559-'Tax Tables'!$A$5:$A$17)*'Tax Tables'!$C$5:$C$17)</f>
        <v>34990</v>
      </c>
      <c r="N559" s="11" t="n">
        <f aca="false">IF(H559&lt;0,-1E+099,A559-E559-M559+J559+(E559+F559)*Calculator!$B$9)</f>
        <v>354640</v>
      </c>
      <c r="O559" s="2"/>
      <c r="P559" s="11" t="n">
        <f aca="false">546*$B$3</f>
        <v>273000</v>
      </c>
      <c r="Q559" s="11" t="n">
        <f aca="false">MIN(P559,'Tax Tables'!$B$31*'Tax Tables'!$B$32)</f>
        <v>96000</v>
      </c>
      <c r="R559" s="11" t="n">
        <f aca="false">P559-Q559</f>
        <v>177000</v>
      </c>
      <c r="S559" s="11" t="n">
        <f aca="false">IF(Calculator!$B$6="Yes",MIN(Q559,'Tax Tables'!$B$31*'Tax Tables'!$B$32),0)</f>
        <v>96000</v>
      </c>
      <c r="T559" s="11" t="n">
        <f aca="false">S559*Calculator!$B$7</f>
        <v>19200</v>
      </c>
      <c r="U559" s="11" t="n">
        <f aca="false">S559*Calculator!$B$8</f>
        <v>16320</v>
      </c>
      <c r="V559" s="11" t="n">
        <f aca="false">IF(Q559&gt;0,'Tax Tables'!$B$32*MIN(MAX(Q559/'Tax Tables'!$B$32*'Tax Tables'!$B$33,'Tax Tables'!$B$34),'Tax Tables'!$B$35),0)</f>
        <v>135</v>
      </c>
      <c r="W559" s="11" t="n">
        <f aca="false">Calculator!$B$5-P559-U559-V559</f>
        <v>110545</v>
      </c>
      <c r="X559" s="11" t="n">
        <f aca="false">'Tax Tables'!$B$22*(MAX(W559,0)-IF(Calculator!$B$10="Yes",MIN(MAX(W559,0),'Tax Tables'!$B$27)*'Tax Tables'!$B$28+MIN(MAX(MAX(W559,0)-'Tax Tables'!$B$27,0),'Tax Tables'!$B$29)*'Tax Tables'!$B$30,MIN(MAX(W559,0),'Tax Tables'!$B$23)*'Tax Tables'!$B$24+MIN(MAX(MAX(W559,0)-'Tax Tables'!$B$23,0),'Tax Tables'!$B$25)*'Tax Tables'!$B$26))*1-MIN('Tax Tables'!$B$22*(MAX(W559,0)-IF(Calculator!$B$10="Yes",MIN(MAX(W559,0),'Tax Tables'!$B$27)*'Tax Tables'!$B$28+MIN(MAX(MAX(W559,0)-'Tax Tables'!$B$27,0),'Tax Tables'!$B$29)*'Tax Tables'!$B$30,MIN(MAX(W559,0),'Tax Tables'!$B$23)*'Tax Tables'!$B$24+MIN(MAX(MAX(W559,0)-'Tax Tables'!$B$23,0),'Tax Tables'!$B$25)*'Tax Tables'!$B$26))*Calculator!$B$11,Calculator!$B$12)</f>
        <v>8971.325</v>
      </c>
      <c r="Y559" s="11" t="n">
        <f aca="false">MAX(W559,0)-X559</f>
        <v>101573.675</v>
      </c>
      <c r="Z559" s="11" t="n">
        <f aca="false">MIN(IF(P559&gt;0,Calculator!$B$13,0)+T559+Calculator!$B$14,'Tax Tables'!$B$36)</f>
        <v>20200</v>
      </c>
      <c r="AA559" s="11" t="n">
        <f aca="false">MAX(P559-Z559,0)</f>
        <v>252800</v>
      </c>
      <c r="AB559" s="11" t="n">
        <f aca="false">SUMPRODUCT((AA559&gt;'Tax Tables'!$A$5:$A$17)*(AA559-'Tax Tables'!$A$5:$A$17)*'Tax Tables'!$C$5:$C$17)</f>
        <v>31246</v>
      </c>
      <c r="AC559" s="11" t="n">
        <f aca="false">IF(W559&lt;0,-1E+099,P559-T559-AB559+Y559+(T559+U559)*Calculator!$B$9)</f>
        <v>359647.675</v>
      </c>
    </row>
    <row r="560" customFormat="false" ht="15" hidden="false" customHeight="false" outlineLevel="0" collapsed="false">
      <c r="A560" s="11" t="n">
        <f aca="false">547*$B$3</f>
        <v>273500</v>
      </c>
      <c r="B560" s="11" t="n">
        <f aca="false">0</f>
        <v>0</v>
      </c>
      <c r="C560" s="11" t="n">
        <f aca="false">A560-B560</f>
        <v>273500</v>
      </c>
      <c r="D560" s="11" t="n">
        <f aca="false">IF(Calculator!$B$6="Yes",MIN(B560,'Tax Tables'!$B$31*'Tax Tables'!$B$32),0)</f>
        <v>0</v>
      </c>
      <c r="E560" s="11" t="n">
        <f aca="false">D560*Calculator!$B$7</f>
        <v>0</v>
      </c>
      <c r="F560" s="11" t="n">
        <f aca="false">D560*Calculator!$B$8</f>
        <v>0</v>
      </c>
      <c r="G560" s="11" t="n">
        <f aca="false">IF(B560&gt;0,'Tax Tables'!$B$32*MIN(MAX(B560/'Tax Tables'!$B$32*'Tax Tables'!$B$33,'Tax Tables'!$B$34),'Tax Tables'!$B$35),0)</f>
        <v>0</v>
      </c>
      <c r="H560" s="11" t="n">
        <f aca="false">Calculator!$B$5-A560-F560-G560</f>
        <v>126500</v>
      </c>
      <c r="I560" s="11" t="n">
        <f aca="false">'Tax Tables'!$B$22*(MAX(H560,0)-IF(Calculator!$B$10="Yes",MIN(MAX(H560,0),'Tax Tables'!$B$27)*'Tax Tables'!$B$28+MIN(MAX(MAX(H560,0)-'Tax Tables'!$B$27,0),'Tax Tables'!$B$29)*'Tax Tables'!$B$30,MIN(MAX(H560,0),'Tax Tables'!$B$23)*'Tax Tables'!$B$24+MIN(MAX(MAX(H560,0)-'Tax Tables'!$B$23,0),'Tax Tables'!$B$25)*'Tax Tables'!$B$26))*1-MIN('Tax Tables'!$B$22*(MAX(H560,0)-IF(Calculator!$B$10="Yes",MIN(MAX(H560,0),'Tax Tables'!$B$27)*'Tax Tables'!$B$28+MIN(MAX(MAX(H560,0)-'Tax Tables'!$B$27,0),'Tax Tables'!$B$29)*'Tax Tables'!$B$30,MIN(MAX(H560,0),'Tax Tables'!$B$23)*'Tax Tables'!$B$24+MIN(MAX(MAX(H560,0)-'Tax Tables'!$B$23,0),'Tax Tables'!$B$25)*'Tax Tables'!$B$26))*Calculator!$B$11,Calculator!$B$12)</f>
        <v>10327.5</v>
      </c>
      <c r="J560" s="11" t="n">
        <f aca="false">MAX(H560,0)-I560</f>
        <v>116172.5</v>
      </c>
      <c r="K560" s="11" t="n">
        <f aca="false">MIN(IF(A560&gt;0,Calculator!$B$13,0)+E560+Calculator!$B$14,'Tax Tables'!$B$36)</f>
        <v>1000</v>
      </c>
      <c r="L560" s="11" t="n">
        <f aca="false">MAX(A560-K560,0)</f>
        <v>272500</v>
      </c>
      <c r="M560" s="11" t="n">
        <f aca="false">SUMPRODUCT((L560&gt;'Tax Tables'!$A$5:$A$17)*(L560-'Tax Tables'!$A$5:$A$17)*'Tax Tables'!$C$5:$C$17)</f>
        <v>35087.5</v>
      </c>
      <c r="N560" s="11" t="n">
        <f aca="false">IF(H560&lt;0,-1E+099,A560-E560-M560+J560+(E560+F560)*Calculator!$B$9)</f>
        <v>354585</v>
      </c>
      <c r="O560" s="2"/>
      <c r="P560" s="11" t="n">
        <f aca="false">547*$B$3</f>
        <v>273500</v>
      </c>
      <c r="Q560" s="11" t="n">
        <f aca="false">MIN(P560,'Tax Tables'!$B$31*'Tax Tables'!$B$32)</f>
        <v>96000</v>
      </c>
      <c r="R560" s="11" t="n">
        <f aca="false">P560-Q560</f>
        <v>177500</v>
      </c>
      <c r="S560" s="11" t="n">
        <f aca="false">IF(Calculator!$B$6="Yes",MIN(Q560,'Tax Tables'!$B$31*'Tax Tables'!$B$32),0)</f>
        <v>96000</v>
      </c>
      <c r="T560" s="11" t="n">
        <f aca="false">S560*Calculator!$B$7</f>
        <v>19200</v>
      </c>
      <c r="U560" s="11" t="n">
        <f aca="false">S560*Calculator!$B$8</f>
        <v>16320</v>
      </c>
      <c r="V560" s="11" t="n">
        <f aca="false">IF(Q560&gt;0,'Tax Tables'!$B$32*MIN(MAX(Q560/'Tax Tables'!$B$32*'Tax Tables'!$B$33,'Tax Tables'!$B$34),'Tax Tables'!$B$35),0)</f>
        <v>135</v>
      </c>
      <c r="W560" s="11" t="n">
        <f aca="false">Calculator!$B$5-P560-U560-V560</f>
        <v>110045</v>
      </c>
      <c r="X560" s="11" t="n">
        <f aca="false">'Tax Tables'!$B$22*(MAX(W560,0)-IF(Calculator!$B$10="Yes",MIN(MAX(W560,0),'Tax Tables'!$B$27)*'Tax Tables'!$B$28+MIN(MAX(MAX(W560,0)-'Tax Tables'!$B$27,0),'Tax Tables'!$B$29)*'Tax Tables'!$B$30,MIN(MAX(W560,0),'Tax Tables'!$B$23)*'Tax Tables'!$B$24+MIN(MAX(MAX(W560,0)-'Tax Tables'!$B$23,0),'Tax Tables'!$B$25)*'Tax Tables'!$B$26))*1-MIN('Tax Tables'!$B$22*(MAX(W560,0)-IF(Calculator!$B$10="Yes",MIN(MAX(W560,0),'Tax Tables'!$B$27)*'Tax Tables'!$B$28+MIN(MAX(MAX(W560,0)-'Tax Tables'!$B$27,0),'Tax Tables'!$B$29)*'Tax Tables'!$B$30,MIN(MAX(W560,0),'Tax Tables'!$B$23)*'Tax Tables'!$B$24+MIN(MAX(MAX(W560,0)-'Tax Tables'!$B$23,0),'Tax Tables'!$B$25)*'Tax Tables'!$B$26))*Calculator!$B$11,Calculator!$B$12)</f>
        <v>8928.825</v>
      </c>
      <c r="Y560" s="11" t="n">
        <f aca="false">MAX(W560,0)-X560</f>
        <v>101116.175</v>
      </c>
      <c r="Z560" s="11" t="n">
        <f aca="false">MIN(IF(P560&gt;0,Calculator!$B$13,0)+T560+Calculator!$B$14,'Tax Tables'!$B$36)</f>
        <v>20200</v>
      </c>
      <c r="AA560" s="11" t="n">
        <f aca="false">MAX(P560-Z560,0)</f>
        <v>253300</v>
      </c>
      <c r="AB560" s="11" t="n">
        <f aca="false">SUMPRODUCT((AA560&gt;'Tax Tables'!$A$5:$A$17)*(AA560-'Tax Tables'!$A$5:$A$17)*'Tax Tables'!$C$5:$C$17)</f>
        <v>31343.5</v>
      </c>
      <c r="AC560" s="11" t="n">
        <f aca="false">IF(W560&lt;0,-1E+099,P560-T560-AB560+Y560+(T560+U560)*Calculator!$B$9)</f>
        <v>359592.675</v>
      </c>
    </row>
    <row r="561" customFormat="false" ht="15" hidden="false" customHeight="false" outlineLevel="0" collapsed="false">
      <c r="A561" s="11" t="n">
        <f aca="false">548*$B$3</f>
        <v>274000</v>
      </c>
      <c r="B561" s="11" t="n">
        <f aca="false">0</f>
        <v>0</v>
      </c>
      <c r="C561" s="11" t="n">
        <f aca="false">A561-B561</f>
        <v>274000</v>
      </c>
      <c r="D561" s="11" t="n">
        <f aca="false">IF(Calculator!$B$6="Yes",MIN(B561,'Tax Tables'!$B$31*'Tax Tables'!$B$32),0)</f>
        <v>0</v>
      </c>
      <c r="E561" s="11" t="n">
        <f aca="false">D561*Calculator!$B$7</f>
        <v>0</v>
      </c>
      <c r="F561" s="11" t="n">
        <f aca="false">D561*Calculator!$B$8</f>
        <v>0</v>
      </c>
      <c r="G561" s="11" t="n">
        <f aca="false">IF(B561&gt;0,'Tax Tables'!$B$32*MIN(MAX(B561/'Tax Tables'!$B$32*'Tax Tables'!$B$33,'Tax Tables'!$B$34),'Tax Tables'!$B$35),0)</f>
        <v>0</v>
      </c>
      <c r="H561" s="11" t="n">
        <f aca="false">Calculator!$B$5-A561-F561-G561</f>
        <v>126000</v>
      </c>
      <c r="I561" s="11" t="n">
        <f aca="false">'Tax Tables'!$B$22*(MAX(H561,0)-IF(Calculator!$B$10="Yes",MIN(MAX(H561,0),'Tax Tables'!$B$27)*'Tax Tables'!$B$28+MIN(MAX(MAX(H561,0)-'Tax Tables'!$B$27,0),'Tax Tables'!$B$29)*'Tax Tables'!$B$30,MIN(MAX(H561,0),'Tax Tables'!$B$23)*'Tax Tables'!$B$24+MIN(MAX(MAX(H561,0)-'Tax Tables'!$B$23,0),'Tax Tables'!$B$25)*'Tax Tables'!$B$26))*1-MIN('Tax Tables'!$B$22*(MAX(H561,0)-IF(Calculator!$B$10="Yes",MIN(MAX(H561,0),'Tax Tables'!$B$27)*'Tax Tables'!$B$28+MIN(MAX(MAX(H561,0)-'Tax Tables'!$B$27,0),'Tax Tables'!$B$29)*'Tax Tables'!$B$30,MIN(MAX(H561,0),'Tax Tables'!$B$23)*'Tax Tables'!$B$24+MIN(MAX(MAX(H561,0)-'Tax Tables'!$B$23,0),'Tax Tables'!$B$25)*'Tax Tables'!$B$26))*Calculator!$B$11,Calculator!$B$12)</f>
        <v>10285</v>
      </c>
      <c r="J561" s="11" t="n">
        <f aca="false">MAX(H561,0)-I561</f>
        <v>115715</v>
      </c>
      <c r="K561" s="11" t="n">
        <f aca="false">MIN(IF(A561&gt;0,Calculator!$B$13,0)+E561+Calculator!$B$14,'Tax Tables'!$B$36)</f>
        <v>1000</v>
      </c>
      <c r="L561" s="11" t="n">
        <f aca="false">MAX(A561-K561,0)</f>
        <v>273000</v>
      </c>
      <c r="M561" s="11" t="n">
        <f aca="false">SUMPRODUCT((L561&gt;'Tax Tables'!$A$5:$A$17)*(L561-'Tax Tables'!$A$5:$A$17)*'Tax Tables'!$C$5:$C$17)</f>
        <v>35185</v>
      </c>
      <c r="N561" s="11" t="n">
        <f aca="false">IF(H561&lt;0,-1E+099,A561-E561-M561+J561+(E561+F561)*Calculator!$B$9)</f>
        <v>354530</v>
      </c>
      <c r="O561" s="2"/>
      <c r="P561" s="11" t="n">
        <f aca="false">548*$B$3</f>
        <v>274000</v>
      </c>
      <c r="Q561" s="11" t="n">
        <f aca="false">MIN(P561,'Tax Tables'!$B$31*'Tax Tables'!$B$32)</f>
        <v>96000</v>
      </c>
      <c r="R561" s="11" t="n">
        <f aca="false">P561-Q561</f>
        <v>178000</v>
      </c>
      <c r="S561" s="11" t="n">
        <f aca="false">IF(Calculator!$B$6="Yes",MIN(Q561,'Tax Tables'!$B$31*'Tax Tables'!$B$32),0)</f>
        <v>96000</v>
      </c>
      <c r="T561" s="11" t="n">
        <f aca="false">S561*Calculator!$B$7</f>
        <v>19200</v>
      </c>
      <c r="U561" s="11" t="n">
        <f aca="false">S561*Calculator!$B$8</f>
        <v>16320</v>
      </c>
      <c r="V561" s="11" t="n">
        <f aca="false">IF(Q561&gt;0,'Tax Tables'!$B$32*MIN(MAX(Q561/'Tax Tables'!$B$32*'Tax Tables'!$B$33,'Tax Tables'!$B$34),'Tax Tables'!$B$35),0)</f>
        <v>135</v>
      </c>
      <c r="W561" s="11" t="n">
        <f aca="false">Calculator!$B$5-P561-U561-V561</f>
        <v>109545</v>
      </c>
      <c r="X561" s="11" t="n">
        <f aca="false">'Tax Tables'!$B$22*(MAX(W561,0)-IF(Calculator!$B$10="Yes",MIN(MAX(W561,0),'Tax Tables'!$B$27)*'Tax Tables'!$B$28+MIN(MAX(MAX(W561,0)-'Tax Tables'!$B$27,0),'Tax Tables'!$B$29)*'Tax Tables'!$B$30,MIN(MAX(W561,0),'Tax Tables'!$B$23)*'Tax Tables'!$B$24+MIN(MAX(MAX(W561,0)-'Tax Tables'!$B$23,0),'Tax Tables'!$B$25)*'Tax Tables'!$B$26))*1-MIN('Tax Tables'!$B$22*(MAX(W561,0)-IF(Calculator!$B$10="Yes",MIN(MAX(W561,0),'Tax Tables'!$B$27)*'Tax Tables'!$B$28+MIN(MAX(MAX(W561,0)-'Tax Tables'!$B$27,0),'Tax Tables'!$B$29)*'Tax Tables'!$B$30,MIN(MAX(W561,0),'Tax Tables'!$B$23)*'Tax Tables'!$B$24+MIN(MAX(MAX(W561,0)-'Tax Tables'!$B$23,0),'Tax Tables'!$B$25)*'Tax Tables'!$B$26))*Calculator!$B$11,Calculator!$B$12)</f>
        <v>8886.325</v>
      </c>
      <c r="Y561" s="11" t="n">
        <f aca="false">MAX(W561,0)-X561</f>
        <v>100658.675</v>
      </c>
      <c r="Z561" s="11" t="n">
        <f aca="false">MIN(IF(P561&gt;0,Calculator!$B$13,0)+T561+Calculator!$B$14,'Tax Tables'!$B$36)</f>
        <v>20200</v>
      </c>
      <c r="AA561" s="11" t="n">
        <f aca="false">MAX(P561-Z561,0)</f>
        <v>253800</v>
      </c>
      <c r="AB561" s="11" t="n">
        <f aca="false">SUMPRODUCT((AA561&gt;'Tax Tables'!$A$5:$A$17)*(AA561-'Tax Tables'!$A$5:$A$17)*'Tax Tables'!$C$5:$C$17)</f>
        <v>31441</v>
      </c>
      <c r="AC561" s="11" t="n">
        <f aca="false">IF(W561&lt;0,-1E+099,P561-T561-AB561+Y561+(T561+U561)*Calculator!$B$9)</f>
        <v>359537.675</v>
      </c>
    </row>
    <row r="562" customFormat="false" ht="15" hidden="false" customHeight="false" outlineLevel="0" collapsed="false">
      <c r="A562" s="11" t="n">
        <f aca="false">549*$B$3</f>
        <v>274500</v>
      </c>
      <c r="B562" s="11" t="n">
        <f aca="false">0</f>
        <v>0</v>
      </c>
      <c r="C562" s="11" t="n">
        <f aca="false">A562-B562</f>
        <v>274500</v>
      </c>
      <c r="D562" s="11" t="n">
        <f aca="false">IF(Calculator!$B$6="Yes",MIN(B562,'Tax Tables'!$B$31*'Tax Tables'!$B$32),0)</f>
        <v>0</v>
      </c>
      <c r="E562" s="11" t="n">
        <f aca="false">D562*Calculator!$B$7</f>
        <v>0</v>
      </c>
      <c r="F562" s="11" t="n">
        <f aca="false">D562*Calculator!$B$8</f>
        <v>0</v>
      </c>
      <c r="G562" s="11" t="n">
        <f aca="false">IF(B562&gt;0,'Tax Tables'!$B$32*MIN(MAX(B562/'Tax Tables'!$B$32*'Tax Tables'!$B$33,'Tax Tables'!$B$34),'Tax Tables'!$B$35),0)</f>
        <v>0</v>
      </c>
      <c r="H562" s="11" t="n">
        <f aca="false">Calculator!$B$5-A562-F562-G562</f>
        <v>125500</v>
      </c>
      <c r="I562" s="11" t="n">
        <f aca="false">'Tax Tables'!$B$22*(MAX(H562,0)-IF(Calculator!$B$10="Yes",MIN(MAX(H562,0),'Tax Tables'!$B$27)*'Tax Tables'!$B$28+MIN(MAX(MAX(H562,0)-'Tax Tables'!$B$27,0),'Tax Tables'!$B$29)*'Tax Tables'!$B$30,MIN(MAX(H562,0),'Tax Tables'!$B$23)*'Tax Tables'!$B$24+MIN(MAX(MAX(H562,0)-'Tax Tables'!$B$23,0),'Tax Tables'!$B$25)*'Tax Tables'!$B$26))*1-MIN('Tax Tables'!$B$22*(MAX(H562,0)-IF(Calculator!$B$10="Yes",MIN(MAX(H562,0),'Tax Tables'!$B$27)*'Tax Tables'!$B$28+MIN(MAX(MAX(H562,0)-'Tax Tables'!$B$27,0),'Tax Tables'!$B$29)*'Tax Tables'!$B$30,MIN(MAX(H562,0),'Tax Tables'!$B$23)*'Tax Tables'!$B$24+MIN(MAX(MAX(H562,0)-'Tax Tables'!$B$23,0),'Tax Tables'!$B$25)*'Tax Tables'!$B$26))*Calculator!$B$11,Calculator!$B$12)</f>
        <v>10242.5</v>
      </c>
      <c r="J562" s="11" t="n">
        <f aca="false">MAX(H562,0)-I562</f>
        <v>115257.5</v>
      </c>
      <c r="K562" s="11" t="n">
        <f aca="false">MIN(IF(A562&gt;0,Calculator!$B$13,0)+E562+Calculator!$B$14,'Tax Tables'!$B$36)</f>
        <v>1000</v>
      </c>
      <c r="L562" s="11" t="n">
        <f aca="false">MAX(A562-K562,0)</f>
        <v>273500</v>
      </c>
      <c r="M562" s="11" t="n">
        <f aca="false">SUMPRODUCT((L562&gt;'Tax Tables'!$A$5:$A$17)*(L562-'Tax Tables'!$A$5:$A$17)*'Tax Tables'!$C$5:$C$17)</f>
        <v>35282.5</v>
      </c>
      <c r="N562" s="11" t="n">
        <f aca="false">IF(H562&lt;0,-1E+099,A562-E562-M562+J562+(E562+F562)*Calculator!$B$9)</f>
        <v>354475</v>
      </c>
      <c r="O562" s="2"/>
      <c r="P562" s="11" t="n">
        <f aca="false">549*$B$3</f>
        <v>274500</v>
      </c>
      <c r="Q562" s="11" t="n">
        <f aca="false">MIN(P562,'Tax Tables'!$B$31*'Tax Tables'!$B$32)</f>
        <v>96000</v>
      </c>
      <c r="R562" s="11" t="n">
        <f aca="false">P562-Q562</f>
        <v>178500</v>
      </c>
      <c r="S562" s="11" t="n">
        <f aca="false">IF(Calculator!$B$6="Yes",MIN(Q562,'Tax Tables'!$B$31*'Tax Tables'!$B$32),0)</f>
        <v>96000</v>
      </c>
      <c r="T562" s="11" t="n">
        <f aca="false">S562*Calculator!$B$7</f>
        <v>19200</v>
      </c>
      <c r="U562" s="11" t="n">
        <f aca="false">S562*Calculator!$B$8</f>
        <v>16320</v>
      </c>
      <c r="V562" s="11" t="n">
        <f aca="false">IF(Q562&gt;0,'Tax Tables'!$B$32*MIN(MAX(Q562/'Tax Tables'!$B$32*'Tax Tables'!$B$33,'Tax Tables'!$B$34),'Tax Tables'!$B$35),0)</f>
        <v>135</v>
      </c>
      <c r="W562" s="11" t="n">
        <f aca="false">Calculator!$B$5-P562-U562-V562</f>
        <v>109045</v>
      </c>
      <c r="X562" s="11" t="n">
        <f aca="false">'Tax Tables'!$B$22*(MAX(W562,0)-IF(Calculator!$B$10="Yes",MIN(MAX(W562,0),'Tax Tables'!$B$27)*'Tax Tables'!$B$28+MIN(MAX(MAX(W562,0)-'Tax Tables'!$B$27,0),'Tax Tables'!$B$29)*'Tax Tables'!$B$30,MIN(MAX(W562,0),'Tax Tables'!$B$23)*'Tax Tables'!$B$24+MIN(MAX(MAX(W562,0)-'Tax Tables'!$B$23,0),'Tax Tables'!$B$25)*'Tax Tables'!$B$26))*1-MIN('Tax Tables'!$B$22*(MAX(W562,0)-IF(Calculator!$B$10="Yes",MIN(MAX(W562,0),'Tax Tables'!$B$27)*'Tax Tables'!$B$28+MIN(MAX(MAX(W562,0)-'Tax Tables'!$B$27,0),'Tax Tables'!$B$29)*'Tax Tables'!$B$30,MIN(MAX(W562,0),'Tax Tables'!$B$23)*'Tax Tables'!$B$24+MIN(MAX(MAX(W562,0)-'Tax Tables'!$B$23,0),'Tax Tables'!$B$25)*'Tax Tables'!$B$26))*Calculator!$B$11,Calculator!$B$12)</f>
        <v>8843.825</v>
      </c>
      <c r="Y562" s="11" t="n">
        <f aca="false">MAX(W562,0)-X562</f>
        <v>100201.175</v>
      </c>
      <c r="Z562" s="11" t="n">
        <f aca="false">MIN(IF(P562&gt;0,Calculator!$B$13,0)+T562+Calculator!$B$14,'Tax Tables'!$B$36)</f>
        <v>20200</v>
      </c>
      <c r="AA562" s="11" t="n">
        <f aca="false">MAX(P562-Z562,0)</f>
        <v>254300</v>
      </c>
      <c r="AB562" s="11" t="n">
        <f aca="false">SUMPRODUCT((AA562&gt;'Tax Tables'!$A$5:$A$17)*(AA562-'Tax Tables'!$A$5:$A$17)*'Tax Tables'!$C$5:$C$17)</f>
        <v>31538.5</v>
      </c>
      <c r="AC562" s="11" t="n">
        <f aca="false">IF(W562&lt;0,-1E+099,P562-T562-AB562+Y562+(T562+U562)*Calculator!$B$9)</f>
        <v>359482.675</v>
      </c>
    </row>
    <row r="563" customFormat="false" ht="15" hidden="false" customHeight="false" outlineLevel="0" collapsed="false">
      <c r="A563" s="11" t="n">
        <f aca="false">550*$B$3</f>
        <v>275000</v>
      </c>
      <c r="B563" s="11" t="n">
        <f aca="false">0</f>
        <v>0</v>
      </c>
      <c r="C563" s="11" t="n">
        <f aca="false">A563-B563</f>
        <v>275000</v>
      </c>
      <c r="D563" s="11" t="n">
        <f aca="false">IF(Calculator!$B$6="Yes",MIN(B563,'Tax Tables'!$B$31*'Tax Tables'!$B$32),0)</f>
        <v>0</v>
      </c>
      <c r="E563" s="11" t="n">
        <f aca="false">D563*Calculator!$B$7</f>
        <v>0</v>
      </c>
      <c r="F563" s="11" t="n">
        <f aca="false">D563*Calculator!$B$8</f>
        <v>0</v>
      </c>
      <c r="G563" s="11" t="n">
        <f aca="false">IF(B563&gt;0,'Tax Tables'!$B$32*MIN(MAX(B563/'Tax Tables'!$B$32*'Tax Tables'!$B$33,'Tax Tables'!$B$34),'Tax Tables'!$B$35),0)</f>
        <v>0</v>
      </c>
      <c r="H563" s="11" t="n">
        <f aca="false">Calculator!$B$5-A563-F563-G563</f>
        <v>125000</v>
      </c>
      <c r="I563" s="11" t="n">
        <f aca="false">'Tax Tables'!$B$22*(MAX(H563,0)-IF(Calculator!$B$10="Yes",MIN(MAX(H563,0),'Tax Tables'!$B$27)*'Tax Tables'!$B$28+MIN(MAX(MAX(H563,0)-'Tax Tables'!$B$27,0),'Tax Tables'!$B$29)*'Tax Tables'!$B$30,MIN(MAX(H563,0),'Tax Tables'!$B$23)*'Tax Tables'!$B$24+MIN(MAX(MAX(H563,0)-'Tax Tables'!$B$23,0),'Tax Tables'!$B$25)*'Tax Tables'!$B$26))*1-MIN('Tax Tables'!$B$22*(MAX(H563,0)-IF(Calculator!$B$10="Yes",MIN(MAX(H563,0),'Tax Tables'!$B$27)*'Tax Tables'!$B$28+MIN(MAX(MAX(H563,0)-'Tax Tables'!$B$27,0),'Tax Tables'!$B$29)*'Tax Tables'!$B$30,MIN(MAX(H563,0),'Tax Tables'!$B$23)*'Tax Tables'!$B$24+MIN(MAX(MAX(H563,0)-'Tax Tables'!$B$23,0),'Tax Tables'!$B$25)*'Tax Tables'!$B$26))*Calculator!$B$11,Calculator!$B$12)</f>
        <v>10200</v>
      </c>
      <c r="J563" s="11" t="n">
        <f aca="false">MAX(H563,0)-I563</f>
        <v>114800</v>
      </c>
      <c r="K563" s="11" t="n">
        <f aca="false">MIN(IF(A563&gt;0,Calculator!$B$13,0)+E563+Calculator!$B$14,'Tax Tables'!$B$36)</f>
        <v>1000</v>
      </c>
      <c r="L563" s="11" t="n">
        <f aca="false">MAX(A563-K563,0)</f>
        <v>274000</v>
      </c>
      <c r="M563" s="11" t="n">
        <f aca="false">SUMPRODUCT((L563&gt;'Tax Tables'!$A$5:$A$17)*(L563-'Tax Tables'!$A$5:$A$17)*'Tax Tables'!$C$5:$C$17)</f>
        <v>35380</v>
      </c>
      <c r="N563" s="11" t="n">
        <f aca="false">IF(H563&lt;0,-1E+099,A563-E563-M563+J563+(E563+F563)*Calculator!$B$9)</f>
        <v>354420</v>
      </c>
      <c r="O563" s="2"/>
      <c r="P563" s="11" t="n">
        <f aca="false">550*$B$3</f>
        <v>275000</v>
      </c>
      <c r="Q563" s="11" t="n">
        <f aca="false">MIN(P563,'Tax Tables'!$B$31*'Tax Tables'!$B$32)</f>
        <v>96000</v>
      </c>
      <c r="R563" s="11" t="n">
        <f aca="false">P563-Q563</f>
        <v>179000</v>
      </c>
      <c r="S563" s="11" t="n">
        <f aca="false">IF(Calculator!$B$6="Yes",MIN(Q563,'Tax Tables'!$B$31*'Tax Tables'!$B$32),0)</f>
        <v>96000</v>
      </c>
      <c r="T563" s="11" t="n">
        <f aca="false">S563*Calculator!$B$7</f>
        <v>19200</v>
      </c>
      <c r="U563" s="11" t="n">
        <f aca="false">S563*Calculator!$B$8</f>
        <v>16320</v>
      </c>
      <c r="V563" s="11" t="n">
        <f aca="false">IF(Q563&gt;0,'Tax Tables'!$B$32*MIN(MAX(Q563/'Tax Tables'!$B$32*'Tax Tables'!$B$33,'Tax Tables'!$B$34),'Tax Tables'!$B$35),0)</f>
        <v>135</v>
      </c>
      <c r="W563" s="11" t="n">
        <f aca="false">Calculator!$B$5-P563-U563-V563</f>
        <v>108545</v>
      </c>
      <c r="X563" s="11" t="n">
        <f aca="false">'Tax Tables'!$B$22*(MAX(W563,0)-IF(Calculator!$B$10="Yes",MIN(MAX(W563,0),'Tax Tables'!$B$27)*'Tax Tables'!$B$28+MIN(MAX(MAX(W563,0)-'Tax Tables'!$B$27,0),'Tax Tables'!$B$29)*'Tax Tables'!$B$30,MIN(MAX(W563,0),'Tax Tables'!$B$23)*'Tax Tables'!$B$24+MIN(MAX(MAX(W563,0)-'Tax Tables'!$B$23,0),'Tax Tables'!$B$25)*'Tax Tables'!$B$26))*1-MIN('Tax Tables'!$B$22*(MAX(W563,0)-IF(Calculator!$B$10="Yes",MIN(MAX(W563,0),'Tax Tables'!$B$27)*'Tax Tables'!$B$28+MIN(MAX(MAX(W563,0)-'Tax Tables'!$B$27,0),'Tax Tables'!$B$29)*'Tax Tables'!$B$30,MIN(MAX(W563,0),'Tax Tables'!$B$23)*'Tax Tables'!$B$24+MIN(MAX(MAX(W563,0)-'Tax Tables'!$B$23,0),'Tax Tables'!$B$25)*'Tax Tables'!$B$26))*Calculator!$B$11,Calculator!$B$12)</f>
        <v>8801.325</v>
      </c>
      <c r="Y563" s="11" t="n">
        <f aca="false">MAX(W563,0)-X563</f>
        <v>99743.675</v>
      </c>
      <c r="Z563" s="11" t="n">
        <f aca="false">MIN(IF(P563&gt;0,Calculator!$B$13,0)+T563+Calculator!$B$14,'Tax Tables'!$B$36)</f>
        <v>20200</v>
      </c>
      <c r="AA563" s="11" t="n">
        <f aca="false">MAX(P563-Z563,0)</f>
        <v>254800</v>
      </c>
      <c r="AB563" s="11" t="n">
        <f aca="false">SUMPRODUCT((AA563&gt;'Tax Tables'!$A$5:$A$17)*(AA563-'Tax Tables'!$A$5:$A$17)*'Tax Tables'!$C$5:$C$17)</f>
        <v>31636</v>
      </c>
      <c r="AC563" s="11" t="n">
        <f aca="false">IF(W563&lt;0,-1E+099,P563-T563-AB563+Y563+(T563+U563)*Calculator!$B$9)</f>
        <v>359427.675</v>
      </c>
    </row>
    <row r="564" customFormat="false" ht="15" hidden="false" customHeight="false" outlineLevel="0" collapsed="false">
      <c r="A564" s="11" t="n">
        <f aca="false">551*$B$3</f>
        <v>275500</v>
      </c>
      <c r="B564" s="11" t="n">
        <f aca="false">0</f>
        <v>0</v>
      </c>
      <c r="C564" s="11" t="n">
        <f aca="false">A564-B564</f>
        <v>275500</v>
      </c>
      <c r="D564" s="11" t="n">
        <f aca="false">IF(Calculator!$B$6="Yes",MIN(B564,'Tax Tables'!$B$31*'Tax Tables'!$B$32),0)</f>
        <v>0</v>
      </c>
      <c r="E564" s="11" t="n">
        <f aca="false">D564*Calculator!$B$7</f>
        <v>0</v>
      </c>
      <c r="F564" s="11" t="n">
        <f aca="false">D564*Calculator!$B$8</f>
        <v>0</v>
      </c>
      <c r="G564" s="11" t="n">
        <f aca="false">IF(B564&gt;0,'Tax Tables'!$B$32*MIN(MAX(B564/'Tax Tables'!$B$32*'Tax Tables'!$B$33,'Tax Tables'!$B$34),'Tax Tables'!$B$35),0)</f>
        <v>0</v>
      </c>
      <c r="H564" s="11" t="n">
        <f aca="false">Calculator!$B$5-A564-F564-G564</f>
        <v>124500</v>
      </c>
      <c r="I564" s="11" t="n">
        <f aca="false">'Tax Tables'!$B$22*(MAX(H564,0)-IF(Calculator!$B$10="Yes",MIN(MAX(H564,0),'Tax Tables'!$B$27)*'Tax Tables'!$B$28+MIN(MAX(MAX(H564,0)-'Tax Tables'!$B$27,0),'Tax Tables'!$B$29)*'Tax Tables'!$B$30,MIN(MAX(H564,0),'Tax Tables'!$B$23)*'Tax Tables'!$B$24+MIN(MAX(MAX(H564,0)-'Tax Tables'!$B$23,0),'Tax Tables'!$B$25)*'Tax Tables'!$B$26))*1-MIN('Tax Tables'!$B$22*(MAX(H564,0)-IF(Calculator!$B$10="Yes",MIN(MAX(H564,0),'Tax Tables'!$B$27)*'Tax Tables'!$B$28+MIN(MAX(MAX(H564,0)-'Tax Tables'!$B$27,0),'Tax Tables'!$B$29)*'Tax Tables'!$B$30,MIN(MAX(H564,0),'Tax Tables'!$B$23)*'Tax Tables'!$B$24+MIN(MAX(MAX(H564,0)-'Tax Tables'!$B$23,0),'Tax Tables'!$B$25)*'Tax Tables'!$B$26))*Calculator!$B$11,Calculator!$B$12)</f>
        <v>10157.5</v>
      </c>
      <c r="J564" s="11" t="n">
        <f aca="false">MAX(H564,0)-I564</f>
        <v>114342.5</v>
      </c>
      <c r="K564" s="11" t="n">
        <f aca="false">MIN(IF(A564&gt;0,Calculator!$B$13,0)+E564+Calculator!$B$14,'Tax Tables'!$B$36)</f>
        <v>1000</v>
      </c>
      <c r="L564" s="11" t="n">
        <f aca="false">MAX(A564-K564,0)</f>
        <v>274500</v>
      </c>
      <c r="M564" s="11" t="n">
        <f aca="false">SUMPRODUCT((L564&gt;'Tax Tables'!$A$5:$A$17)*(L564-'Tax Tables'!$A$5:$A$17)*'Tax Tables'!$C$5:$C$17)</f>
        <v>35477.5</v>
      </c>
      <c r="N564" s="11" t="n">
        <f aca="false">IF(H564&lt;0,-1E+099,A564-E564-M564+J564+(E564+F564)*Calculator!$B$9)</f>
        <v>354365</v>
      </c>
      <c r="O564" s="2"/>
      <c r="P564" s="11" t="n">
        <f aca="false">551*$B$3</f>
        <v>275500</v>
      </c>
      <c r="Q564" s="11" t="n">
        <f aca="false">MIN(P564,'Tax Tables'!$B$31*'Tax Tables'!$B$32)</f>
        <v>96000</v>
      </c>
      <c r="R564" s="11" t="n">
        <f aca="false">P564-Q564</f>
        <v>179500</v>
      </c>
      <c r="S564" s="11" t="n">
        <f aca="false">IF(Calculator!$B$6="Yes",MIN(Q564,'Tax Tables'!$B$31*'Tax Tables'!$B$32),0)</f>
        <v>96000</v>
      </c>
      <c r="T564" s="11" t="n">
        <f aca="false">S564*Calculator!$B$7</f>
        <v>19200</v>
      </c>
      <c r="U564" s="11" t="n">
        <f aca="false">S564*Calculator!$B$8</f>
        <v>16320</v>
      </c>
      <c r="V564" s="11" t="n">
        <f aca="false">IF(Q564&gt;0,'Tax Tables'!$B$32*MIN(MAX(Q564/'Tax Tables'!$B$32*'Tax Tables'!$B$33,'Tax Tables'!$B$34),'Tax Tables'!$B$35),0)</f>
        <v>135</v>
      </c>
      <c r="W564" s="11" t="n">
        <f aca="false">Calculator!$B$5-P564-U564-V564</f>
        <v>108045</v>
      </c>
      <c r="X564" s="11" t="n">
        <f aca="false">'Tax Tables'!$B$22*(MAX(W564,0)-IF(Calculator!$B$10="Yes",MIN(MAX(W564,0),'Tax Tables'!$B$27)*'Tax Tables'!$B$28+MIN(MAX(MAX(W564,0)-'Tax Tables'!$B$27,0),'Tax Tables'!$B$29)*'Tax Tables'!$B$30,MIN(MAX(W564,0),'Tax Tables'!$B$23)*'Tax Tables'!$B$24+MIN(MAX(MAX(W564,0)-'Tax Tables'!$B$23,0),'Tax Tables'!$B$25)*'Tax Tables'!$B$26))*1-MIN('Tax Tables'!$B$22*(MAX(W564,0)-IF(Calculator!$B$10="Yes",MIN(MAX(W564,0),'Tax Tables'!$B$27)*'Tax Tables'!$B$28+MIN(MAX(MAX(W564,0)-'Tax Tables'!$B$27,0),'Tax Tables'!$B$29)*'Tax Tables'!$B$30,MIN(MAX(W564,0),'Tax Tables'!$B$23)*'Tax Tables'!$B$24+MIN(MAX(MAX(W564,0)-'Tax Tables'!$B$23,0),'Tax Tables'!$B$25)*'Tax Tables'!$B$26))*Calculator!$B$11,Calculator!$B$12)</f>
        <v>8758.825</v>
      </c>
      <c r="Y564" s="11" t="n">
        <f aca="false">MAX(W564,0)-X564</f>
        <v>99286.175</v>
      </c>
      <c r="Z564" s="11" t="n">
        <f aca="false">MIN(IF(P564&gt;0,Calculator!$B$13,0)+T564+Calculator!$B$14,'Tax Tables'!$B$36)</f>
        <v>20200</v>
      </c>
      <c r="AA564" s="11" t="n">
        <f aca="false">MAX(P564-Z564,0)</f>
        <v>255300</v>
      </c>
      <c r="AB564" s="11" t="n">
        <f aca="false">SUMPRODUCT((AA564&gt;'Tax Tables'!$A$5:$A$17)*(AA564-'Tax Tables'!$A$5:$A$17)*'Tax Tables'!$C$5:$C$17)</f>
        <v>31733.5</v>
      </c>
      <c r="AC564" s="11" t="n">
        <f aca="false">IF(W564&lt;0,-1E+099,P564-T564-AB564+Y564+(T564+U564)*Calculator!$B$9)</f>
        <v>359372.675</v>
      </c>
    </row>
    <row r="565" customFormat="false" ht="15" hidden="false" customHeight="false" outlineLevel="0" collapsed="false">
      <c r="A565" s="11" t="n">
        <f aca="false">552*$B$3</f>
        <v>276000</v>
      </c>
      <c r="B565" s="11" t="n">
        <f aca="false">0</f>
        <v>0</v>
      </c>
      <c r="C565" s="11" t="n">
        <f aca="false">A565-B565</f>
        <v>276000</v>
      </c>
      <c r="D565" s="11" t="n">
        <f aca="false">IF(Calculator!$B$6="Yes",MIN(B565,'Tax Tables'!$B$31*'Tax Tables'!$B$32),0)</f>
        <v>0</v>
      </c>
      <c r="E565" s="11" t="n">
        <f aca="false">D565*Calculator!$B$7</f>
        <v>0</v>
      </c>
      <c r="F565" s="11" t="n">
        <f aca="false">D565*Calculator!$B$8</f>
        <v>0</v>
      </c>
      <c r="G565" s="11" t="n">
        <f aca="false">IF(B565&gt;0,'Tax Tables'!$B$32*MIN(MAX(B565/'Tax Tables'!$B$32*'Tax Tables'!$B$33,'Tax Tables'!$B$34),'Tax Tables'!$B$35),0)</f>
        <v>0</v>
      </c>
      <c r="H565" s="11" t="n">
        <f aca="false">Calculator!$B$5-A565-F565-G565</f>
        <v>124000</v>
      </c>
      <c r="I565" s="11" t="n">
        <f aca="false">'Tax Tables'!$B$22*(MAX(H565,0)-IF(Calculator!$B$10="Yes",MIN(MAX(H565,0),'Tax Tables'!$B$27)*'Tax Tables'!$B$28+MIN(MAX(MAX(H565,0)-'Tax Tables'!$B$27,0),'Tax Tables'!$B$29)*'Tax Tables'!$B$30,MIN(MAX(H565,0),'Tax Tables'!$B$23)*'Tax Tables'!$B$24+MIN(MAX(MAX(H565,0)-'Tax Tables'!$B$23,0),'Tax Tables'!$B$25)*'Tax Tables'!$B$26))*1-MIN('Tax Tables'!$B$22*(MAX(H565,0)-IF(Calculator!$B$10="Yes",MIN(MAX(H565,0),'Tax Tables'!$B$27)*'Tax Tables'!$B$28+MIN(MAX(MAX(H565,0)-'Tax Tables'!$B$27,0),'Tax Tables'!$B$29)*'Tax Tables'!$B$30,MIN(MAX(H565,0),'Tax Tables'!$B$23)*'Tax Tables'!$B$24+MIN(MAX(MAX(H565,0)-'Tax Tables'!$B$23,0),'Tax Tables'!$B$25)*'Tax Tables'!$B$26))*Calculator!$B$11,Calculator!$B$12)</f>
        <v>10115</v>
      </c>
      <c r="J565" s="11" t="n">
        <f aca="false">MAX(H565,0)-I565</f>
        <v>113885</v>
      </c>
      <c r="K565" s="11" t="n">
        <f aca="false">MIN(IF(A565&gt;0,Calculator!$B$13,0)+E565+Calculator!$B$14,'Tax Tables'!$B$36)</f>
        <v>1000</v>
      </c>
      <c r="L565" s="11" t="n">
        <f aca="false">MAX(A565-K565,0)</f>
        <v>275000</v>
      </c>
      <c r="M565" s="11" t="n">
        <f aca="false">SUMPRODUCT((L565&gt;'Tax Tables'!$A$5:$A$17)*(L565-'Tax Tables'!$A$5:$A$17)*'Tax Tables'!$C$5:$C$17)</f>
        <v>35575</v>
      </c>
      <c r="N565" s="11" t="n">
        <f aca="false">IF(H565&lt;0,-1E+099,A565-E565-M565+J565+(E565+F565)*Calculator!$B$9)</f>
        <v>354310</v>
      </c>
      <c r="O565" s="2"/>
      <c r="P565" s="11" t="n">
        <f aca="false">552*$B$3</f>
        <v>276000</v>
      </c>
      <c r="Q565" s="11" t="n">
        <f aca="false">MIN(P565,'Tax Tables'!$B$31*'Tax Tables'!$B$32)</f>
        <v>96000</v>
      </c>
      <c r="R565" s="11" t="n">
        <f aca="false">P565-Q565</f>
        <v>180000</v>
      </c>
      <c r="S565" s="11" t="n">
        <f aca="false">IF(Calculator!$B$6="Yes",MIN(Q565,'Tax Tables'!$B$31*'Tax Tables'!$B$32),0)</f>
        <v>96000</v>
      </c>
      <c r="T565" s="11" t="n">
        <f aca="false">S565*Calculator!$B$7</f>
        <v>19200</v>
      </c>
      <c r="U565" s="11" t="n">
        <f aca="false">S565*Calculator!$B$8</f>
        <v>16320</v>
      </c>
      <c r="V565" s="11" t="n">
        <f aca="false">IF(Q565&gt;0,'Tax Tables'!$B$32*MIN(MAX(Q565/'Tax Tables'!$B$32*'Tax Tables'!$B$33,'Tax Tables'!$B$34),'Tax Tables'!$B$35),0)</f>
        <v>135</v>
      </c>
      <c r="W565" s="11" t="n">
        <f aca="false">Calculator!$B$5-P565-U565-V565</f>
        <v>107545</v>
      </c>
      <c r="X565" s="11" t="n">
        <f aca="false">'Tax Tables'!$B$22*(MAX(W565,0)-IF(Calculator!$B$10="Yes",MIN(MAX(W565,0),'Tax Tables'!$B$27)*'Tax Tables'!$B$28+MIN(MAX(MAX(W565,0)-'Tax Tables'!$B$27,0),'Tax Tables'!$B$29)*'Tax Tables'!$B$30,MIN(MAX(W565,0),'Tax Tables'!$B$23)*'Tax Tables'!$B$24+MIN(MAX(MAX(W565,0)-'Tax Tables'!$B$23,0),'Tax Tables'!$B$25)*'Tax Tables'!$B$26))*1-MIN('Tax Tables'!$B$22*(MAX(W565,0)-IF(Calculator!$B$10="Yes",MIN(MAX(W565,0),'Tax Tables'!$B$27)*'Tax Tables'!$B$28+MIN(MAX(MAX(W565,0)-'Tax Tables'!$B$27,0),'Tax Tables'!$B$29)*'Tax Tables'!$B$30,MIN(MAX(W565,0),'Tax Tables'!$B$23)*'Tax Tables'!$B$24+MIN(MAX(MAX(W565,0)-'Tax Tables'!$B$23,0),'Tax Tables'!$B$25)*'Tax Tables'!$B$26))*Calculator!$B$11,Calculator!$B$12)</f>
        <v>8716.325</v>
      </c>
      <c r="Y565" s="11" t="n">
        <f aca="false">MAX(W565,0)-X565</f>
        <v>98828.675</v>
      </c>
      <c r="Z565" s="11" t="n">
        <f aca="false">MIN(IF(P565&gt;0,Calculator!$B$13,0)+T565+Calculator!$B$14,'Tax Tables'!$B$36)</f>
        <v>20200</v>
      </c>
      <c r="AA565" s="11" t="n">
        <f aca="false">MAX(P565-Z565,0)</f>
        <v>255800</v>
      </c>
      <c r="AB565" s="11" t="n">
        <f aca="false">SUMPRODUCT((AA565&gt;'Tax Tables'!$A$5:$A$17)*(AA565-'Tax Tables'!$A$5:$A$17)*'Tax Tables'!$C$5:$C$17)</f>
        <v>31831</v>
      </c>
      <c r="AC565" s="11" t="n">
        <f aca="false">IF(W565&lt;0,-1E+099,P565-T565-AB565+Y565+(T565+U565)*Calculator!$B$9)</f>
        <v>359317.675</v>
      </c>
    </row>
    <row r="566" customFormat="false" ht="15" hidden="false" customHeight="false" outlineLevel="0" collapsed="false">
      <c r="A566" s="11" t="n">
        <f aca="false">553*$B$3</f>
        <v>276500</v>
      </c>
      <c r="B566" s="11" t="n">
        <f aca="false">0</f>
        <v>0</v>
      </c>
      <c r="C566" s="11" t="n">
        <f aca="false">A566-B566</f>
        <v>276500</v>
      </c>
      <c r="D566" s="11" t="n">
        <f aca="false">IF(Calculator!$B$6="Yes",MIN(B566,'Tax Tables'!$B$31*'Tax Tables'!$B$32),0)</f>
        <v>0</v>
      </c>
      <c r="E566" s="11" t="n">
        <f aca="false">D566*Calculator!$B$7</f>
        <v>0</v>
      </c>
      <c r="F566" s="11" t="n">
        <f aca="false">D566*Calculator!$B$8</f>
        <v>0</v>
      </c>
      <c r="G566" s="11" t="n">
        <f aca="false">IF(B566&gt;0,'Tax Tables'!$B$32*MIN(MAX(B566/'Tax Tables'!$B$32*'Tax Tables'!$B$33,'Tax Tables'!$B$34),'Tax Tables'!$B$35),0)</f>
        <v>0</v>
      </c>
      <c r="H566" s="11" t="n">
        <f aca="false">Calculator!$B$5-A566-F566-G566</f>
        <v>123500</v>
      </c>
      <c r="I566" s="11" t="n">
        <f aca="false">'Tax Tables'!$B$22*(MAX(H566,0)-IF(Calculator!$B$10="Yes",MIN(MAX(H566,0),'Tax Tables'!$B$27)*'Tax Tables'!$B$28+MIN(MAX(MAX(H566,0)-'Tax Tables'!$B$27,0),'Tax Tables'!$B$29)*'Tax Tables'!$B$30,MIN(MAX(H566,0),'Tax Tables'!$B$23)*'Tax Tables'!$B$24+MIN(MAX(MAX(H566,0)-'Tax Tables'!$B$23,0),'Tax Tables'!$B$25)*'Tax Tables'!$B$26))*1-MIN('Tax Tables'!$B$22*(MAX(H566,0)-IF(Calculator!$B$10="Yes",MIN(MAX(H566,0),'Tax Tables'!$B$27)*'Tax Tables'!$B$28+MIN(MAX(MAX(H566,0)-'Tax Tables'!$B$27,0),'Tax Tables'!$B$29)*'Tax Tables'!$B$30,MIN(MAX(H566,0),'Tax Tables'!$B$23)*'Tax Tables'!$B$24+MIN(MAX(MAX(H566,0)-'Tax Tables'!$B$23,0),'Tax Tables'!$B$25)*'Tax Tables'!$B$26))*Calculator!$B$11,Calculator!$B$12)</f>
        <v>10072.5</v>
      </c>
      <c r="J566" s="11" t="n">
        <f aca="false">MAX(H566,0)-I566</f>
        <v>113427.5</v>
      </c>
      <c r="K566" s="11" t="n">
        <f aca="false">MIN(IF(A566&gt;0,Calculator!$B$13,0)+E566+Calculator!$B$14,'Tax Tables'!$B$36)</f>
        <v>1000</v>
      </c>
      <c r="L566" s="11" t="n">
        <f aca="false">MAX(A566-K566,0)</f>
        <v>275500</v>
      </c>
      <c r="M566" s="11" t="n">
        <f aca="false">SUMPRODUCT((L566&gt;'Tax Tables'!$A$5:$A$17)*(L566-'Tax Tables'!$A$5:$A$17)*'Tax Tables'!$C$5:$C$17)</f>
        <v>35672.5</v>
      </c>
      <c r="N566" s="11" t="n">
        <f aca="false">IF(H566&lt;0,-1E+099,A566-E566-M566+J566+(E566+F566)*Calculator!$B$9)</f>
        <v>354255</v>
      </c>
      <c r="O566" s="2"/>
      <c r="P566" s="11" t="n">
        <f aca="false">553*$B$3</f>
        <v>276500</v>
      </c>
      <c r="Q566" s="11" t="n">
        <f aca="false">MIN(P566,'Tax Tables'!$B$31*'Tax Tables'!$B$32)</f>
        <v>96000</v>
      </c>
      <c r="R566" s="11" t="n">
        <f aca="false">P566-Q566</f>
        <v>180500</v>
      </c>
      <c r="S566" s="11" t="n">
        <f aca="false">IF(Calculator!$B$6="Yes",MIN(Q566,'Tax Tables'!$B$31*'Tax Tables'!$B$32),0)</f>
        <v>96000</v>
      </c>
      <c r="T566" s="11" t="n">
        <f aca="false">S566*Calculator!$B$7</f>
        <v>19200</v>
      </c>
      <c r="U566" s="11" t="n">
        <f aca="false">S566*Calculator!$B$8</f>
        <v>16320</v>
      </c>
      <c r="V566" s="11" t="n">
        <f aca="false">IF(Q566&gt;0,'Tax Tables'!$B$32*MIN(MAX(Q566/'Tax Tables'!$B$32*'Tax Tables'!$B$33,'Tax Tables'!$B$34),'Tax Tables'!$B$35),0)</f>
        <v>135</v>
      </c>
      <c r="W566" s="11" t="n">
        <f aca="false">Calculator!$B$5-P566-U566-V566</f>
        <v>107045</v>
      </c>
      <c r="X566" s="11" t="n">
        <f aca="false">'Tax Tables'!$B$22*(MAX(W566,0)-IF(Calculator!$B$10="Yes",MIN(MAX(W566,0),'Tax Tables'!$B$27)*'Tax Tables'!$B$28+MIN(MAX(MAX(W566,0)-'Tax Tables'!$B$27,0),'Tax Tables'!$B$29)*'Tax Tables'!$B$30,MIN(MAX(W566,0),'Tax Tables'!$B$23)*'Tax Tables'!$B$24+MIN(MAX(MAX(W566,0)-'Tax Tables'!$B$23,0),'Tax Tables'!$B$25)*'Tax Tables'!$B$26))*1-MIN('Tax Tables'!$B$22*(MAX(W566,0)-IF(Calculator!$B$10="Yes",MIN(MAX(W566,0),'Tax Tables'!$B$27)*'Tax Tables'!$B$28+MIN(MAX(MAX(W566,0)-'Tax Tables'!$B$27,0),'Tax Tables'!$B$29)*'Tax Tables'!$B$30,MIN(MAX(W566,0),'Tax Tables'!$B$23)*'Tax Tables'!$B$24+MIN(MAX(MAX(W566,0)-'Tax Tables'!$B$23,0),'Tax Tables'!$B$25)*'Tax Tables'!$B$26))*Calculator!$B$11,Calculator!$B$12)</f>
        <v>8673.825</v>
      </c>
      <c r="Y566" s="11" t="n">
        <f aca="false">MAX(W566,0)-X566</f>
        <v>98371.175</v>
      </c>
      <c r="Z566" s="11" t="n">
        <f aca="false">MIN(IF(P566&gt;0,Calculator!$B$13,0)+T566+Calculator!$B$14,'Tax Tables'!$B$36)</f>
        <v>20200</v>
      </c>
      <c r="AA566" s="11" t="n">
        <f aca="false">MAX(P566-Z566,0)</f>
        <v>256300</v>
      </c>
      <c r="AB566" s="11" t="n">
        <f aca="false">SUMPRODUCT((AA566&gt;'Tax Tables'!$A$5:$A$17)*(AA566-'Tax Tables'!$A$5:$A$17)*'Tax Tables'!$C$5:$C$17)</f>
        <v>31928.5</v>
      </c>
      <c r="AC566" s="11" t="n">
        <f aca="false">IF(W566&lt;0,-1E+099,P566-T566-AB566+Y566+(T566+U566)*Calculator!$B$9)</f>
        <v>359262.675</v>
      </c>
    </row>
    <row r="567" customFormat="false" ht="15" hidden="false" customHeight="false" outlineLevel="0" collapsed="false">
      <c r="A567" s="11" t="n">
        <f aca="false">554*$B$3</f>
        <v>277000</v>
      </c>
      <c r="B567" s="11" t="n">
        <f aca="false">0</f>
        <v>0</v>
      </c>
      <c r="C567" s="11" t="n">
        <f aca="false">A567-B567</f>
        <v>277000</v>
      </c>
      <c r="D567" s="11" t="n">
        <f aca="false">IF(Calculator!$B$6="Yes",MIN(B567,'Tax Tables'!$B$31*'Tax Tables'!$B$32),0)</f>
        <v>0</v>
      </c>
      <c r="E567" s="11" t="n">
        <f aca="false">D567*Calculator!$B$7</f>
        <v>0</v>
      </c>
      <c r="F567" s="11" t="n">
        <f aca="false">D567*Calculator!$B$8</f>
        <v>0</v>
      </c>
      <c r="G567" s="11" t="n">
        <f aca="false">IF(B567&gt;0,'Tax Tables'!$B$32*MIN(MAX(B567/'Tax Tables'!$B$32*'Tax Tables'!$B$33,'Tax Tables'!$B$34),'Tax Tables'!$B$35),0)</f>
        <v>0</v>
      </c>
      <c r="H567" s="11" t="n">
        <f aca="false">Calculator!$B$5-A567-F567-G567</f>
        <v>123000</v>
      </c>
      <c r="I567" s="11" t="n">
        <f aca="false">'Tax Tables'!$B$22*(MAX(H567,0)-IF(Calculator!$B$10="Yes",MIN(MAX(H567,0),'Tax Tables'!$B$27)*'Tax Tables'!$B$28+MIN(MAX(MAX(H567,0)-'Tax Tables'!$B$27,0),'Tax Tables'!$B$29)*'Tax Tables'!$B$30,MIN(MAX(H567,0),'Tax Tables'!$B$23)*'Tax Tables'!$B$24+MIN(MAX(MAX(H567,0)-'Tax Tables'!$B$23,0),'Tax Tables'!$B$25)*'Tax Tables'!$B$26))*1-MIN('Tax Tables'!$B$22*(MAX(H567,0)-IF(Calculator!$B$10="Yes",MIN(MAX(H567,0),'Tax Tables'!$B$27)*'Tax Tables'!$B$28+MIN(MAX(MAX(H567,0)-'Tax Tables'!$B$27,0),'Tax Tables'!$B$29)*'Tax Tables'!$B$30,MIN(MAX(H567,0),'Tax Tables'!$B$23)*'Tax Tables'!$B$24+MIN(MAX(MAX(H567,0)-'Tax Tables'!$B$23,0),'Tax Tables'!$B$25)*'Tax Tables'!$B$26))*Calculator!$B$11,Calculator!$B$12)</f>
        <v>10030</v>
      </c>
      <c r="J567" s="11" t="n">
        <f aca="false">MAX(H567,0)-I567</f>
        <v>112970</v>
      </c>
      <c r="K567" s="11" t="n">
        <f aca="false">MIN(IF(A567&gt;0,Calculator!$B$13,0)+E567+Calculator!$B$14,'Tax Tables'!$B$36)</f>
        <v>1000</v>
      </c>
      <c r="L567" s="11" t="n">
        <f aca="false">MAX(A567-K567,0)</f>
        <v>276000</v>
      </c>
      <c r="M567" s="11" t="n">
        <f aca="false">SUMPRODUCT((L567&gt;'Tax Tables'!$A$5:$A$17)*(L567-'Tax Tables'!$A$5:$A$17)*'Tax Tables'!$C$5:$C$17)</f>
        <v>35770</v>
      </c>
      <c r="N567" s="11" t="n">
        <f aca="false">IF(H567&lt;0,-1E+099,A567-E567-M567+J567+(E567+F567)*Calculator!$B$9)</f>
        <v>354200</v>
      </c>
      <c r="O567" s="2"/>
      <c r="P567" s="11" t="n">
        <f aca="false">554*$B$3</f>
        <v>277000</v>
      </c>
      <c r="Q567" s="11" t="n">
        <f aca="false">MIN(P567,'Tax Tables'!$B$31*'Tax Tables'!$B$32)</f>
        <v>96000</v>
      </c>
      <c r="R567" s="11" t="n">
        <f aca="false">P567-Q567</f>
        <v>181000</v>
      </c>
      <c r="S567" s="11" t="n">
        <f aca="false">IF(Calculator!$B$6="Yes",MIN(Q567,'Tax Tables'!$B$31*'Tax Tables'!$B$32),0)</f>
        <v>96000</v>
      </c>
      <c r="T567" s="11" t="n">
        <f aca="false">S567*Calculator!$B$7</f>
        <v>19200</v>
      </c>
      <c r="U567" s="11" t="n">
        <f aca="false">S567*Calculator!$B$8</f>
        <v>16320</v>
      </c>
      <c r="V567" s="11" t="n">
        <f aca="false">IF(Q567&gt;0,'Tax Tables'!$B$32*MIN(MAX(Q567/'Tax Tables'!$B$32*'Tax Tables'!$B$33,'Tax Tables'!$B$34),'Tax Tables'!$B$35),0)</f>
        <v>135</v>
      </c>
      <c r="W567" s="11" t="n">
        <f aca="false">Calculator!$B$5-P567-U567-V567</f>
        <v>106545</v>
      </c>
      <c r="X567" s="11" t="n">
        <f aca="false">'Tax Tables'!$B$22*(MAX(W567,0)-IF(Calculator!$B$10="Yes",MIN(MAX(W567,0),'Tax Tables'!$B$27)*'Tax Tables'!$B$28+MIN(MAX(MAX(W567,0)-'Tax Tables'!$B$27,0),'Tax Tables'!$B$29)*'Tax Tables'!$B$30,MIN(MAX(W567,0),'Tax Tables'!$B$23)*'Tax Tables'!$B$24+MIN(MAX(MAX(W567,0)-'Tax Tables'!$B$23,0),'Tax Tables'!$B$25)*'Tax Tables'!$B$26))*1-MIN('Tax Tables'!$B$22*(MAX(W567,0)-IF(Calculator!$B$10="Yes",MIN(MAX(W567,0),'Tax Tables'!$B$27)*'Tax Tables'!$B$28+MIN(MAX(MAX(W567,0)-'Tax Tables'!$B$27,0),'Tax Tables'!$B$29)*'Tax Tables'!$B$30,MIN(MAX(W567,0),'Tax Tables'!$B$23)*'Tax Tables'!$B$24+MIN(MAX(MAX(W567,0)-'Tax Tables'!$B$23,0),'Tax Tables'!$B$25)*'Tax Tables'!$B$26))*Calculator!$B$11,Calculator!$B$12)</f>
        <v>8631.325</v>
      </c>
      <c r="Y567" s="11" t="n">
        <f aca="false">MAX(W567,0)-X567</f>
        <v>97913.675</v>
      </c>
      <c r="Z567" s="11" t="n">
        <f aca="false">MIN(IF(P567&gt;0,Calculator!$B$13,0)+T567+Calculator!$B$14,'Tax Tables'!$B$36)</f>
        <v>20200</v>
      </c>
      <c r="AA567" s="11" t="n">
        <f aca="false">MAX(P567-Z567,0)</f>
        <v>256800</v>
      </c>
      <c r="AB567" s="11" t="n">
        <f aca="false">SUMPRODUCT((AA567&gt;'Tax Tables'!$A$5:$A$17)*(AA567-'Tax Tables'!$A$5:$A$17)*'Tax Tables'!$C$5:$C$17)</f>
        <v>32026</v>
      </c>
      <c r="AC567" s="11" t="n">
        <f aca="false">IF(W567&lt;0,-1E+099,P567-T567-AB567+Y567+(T567+U567)*Calculator!$B$9)</f>
        <v>359207.675</v>
      </c>
    </row>
    <row r="568" customFormat="false" ht="15" hidden="false" customHeight="false" outlineLevel="0" collapsed="false">
      <c r="A568" s="11" t="n">
        <f aca="false">555*$B$3</f>
        <v>277500</v>
      </c>
      <c r="B568" s="11" t="n">
        <f aca="false">0</f>
        <v>0</v>
      </c>
      <c r="C568" s="11" t="n">
        <f aca="false">A568-B568</f>
        <v>277500</v>
      </c>
      <c r="D568" s="11" t="n">
        <f aca="false">IF(Calculator!$B$6="Yes",MIN(B568,'Tax Tables'!$B$31*'Tax Tables'!$B$32),0)</f>
        <v>0</v>
      </c>
      <c r="E568" s="11" t="n">
        <f aca="false">D568*Calculator!$B$7</f>
        <v>0</v>
      </c>
      <c r="F568" s="11" t="n">
        <f aca="false">D568*Calculator!$B$8</f>
        <v>0</v>
      </c>
      <c r="G568" s="11" t="n">
        <f aca="false">IF(B568&gt;0,'Tax Tables'!$B$32*MIN(MAX(B568/'Tax Tables'!$B$32*'Tax Tables'!$B$33,'Tax Tables'!$B$34),'Tax Tables'!$B$35),0)</f>
        <v>0</v>
      </c>
      <c r="H568" s="11" t="n">
        <f aca="false">Calculator!$B$5-A568-F568-G568</f>
        <v>122500</v>
      </c>
      <c r="I568" s="11" t="n">
        <f aca="false">'Tax Tables'!$B$22*(MAX(H568,0)-IF(Calculator!$B$10="Yes",MIN(MAX(H568,0),'Tax Tables'!$B$27)*'Tax Tables'!$B$28+MIN(MAX(MAX(H568,0)-'Tax Tables'!$B$27,0),'Tax Tables'!$B$29)*'Tax Tables'!$B$30,MIN(MAX(H568,0),'Tax Tables'!$B$23)*'Tax Tables'!$B$24+MIN(MAX(MAX(H568,0)-'Tax Tables'!$B$23,0),'Tax Tables'!$B$25)*'Tax Tables'!$B$26))*1-MIN('Tax Tables'!$B$22*(MAX(H568,0)-IF(Calculator!$B$10="Yes",MIN(MAX(H568,0),'Tax Tables'!$B$27)*'Tax Tables'!$B$28+MIN(MAX(MAX(H568,0)-'Tax Tables'!$B$27,0),'Tax Tables'!$B$29)*'Tax Tables'!$B$30,MIN(MAX(H568,0),'Tax Tables'!$B$23)*'Tax Tables'!$B$24+MIN(MAX(MAX(H568,0)-'Tax Tables'!$B$23,0),'Tax Tables'!$B$25)*'Tax Tables'!$B$26))*Calculator!$B$11,Calculator!$B$12)</f>
        <v>9987.5</v>
      </c>
      <c r="J568" s="11" t="n">
        <f aca="false">MAX(H568,0)-I568</f>
        <v>112512.5</v>
      </c>
      <c r="K568" s="11" t="n">
        <f aca="false">MIN(IF(A568&gt;0,Calculator!$B$13,0)+E568+Calculator!$B$14,'Tax Tables'!$B$36)</f>
        <v>1000</v>
      </c>
      <c r="L568" s="11" t="n">
        <f aca="false">MAX(A568-K568,0)</f>
        <v>276500</v>
      </c>
      <c r="M568" s="11" t="n">
        <f aca="false">SUMPRODUCT((L568&gt;'Tax Tables'!$A$5:$A$17)*(L568-'Tax Tables'!$A$5:$A$17)*'Tax Tables'!$C$5:$C$17)</f>
        <v>35867.5</v>
      </c>
      <c r="N568" s="11" t="n">
        <f aca="false">IF(H568&lt;0,-1E+099,A568-E568-M568+J568+(E568+F568)*Calculator!$B$9)</f>
        <v>354145</v>
      </c>
      <c r="O568" s="2"/>
      <c r="P568" s="11" t="n">
        <f aca="false">555*$B$3</f>
        <v>277500</v>
      </c>
      <c r="Q568" s="11" t="n">
        <f aca="false">MIN(P568,'Tax Tables'!$B$31*'Tax Tables'!$B$32)</f>
        <v>96000</v>
      </c>
      <c r="R568" s="11" t="n">
        <f aca="false">P568-Q568</f>
        <v>181500</v>
      </c>
      <c r="S568" s="11" t="n">
        <f aca="false">IF(Calculator!$B$6="Yes",MIN(Q568,'Tax Tables'!$B$31*'Tax Tables'!$B$32),0)</f>
        <v>96000</v>
      </c>
      <c r="T568" s="11" t="n">
        <f aca="false">S568*Calculator!$B$7</f>
        <v>19200</v>
      </c>
      <c r="U568" s="11" t="n">
        <f aca="false">S568*Calculator!$B$8</f>
        <v>16320</v>
      </c>
      <c r="V568" s="11" t="n">
        <f aca="false">IF(Q568&gt;0,'Tax Tables'!$B$32*MIN(MAX(Q568/'Tax Tables'!$B$32*'Tax Tables'!$B$33,'Tax Tables'!$B$34),'Tax Tables'!$B$35),0)</f>
        <v>135</v>
      </c>
      <c r="W568" s="11" t="n">
        <f aca="false">Calculator!$B$5-P568-U568-V568</f>
        <v>106045</v>
      </c>
      <c r="X568" s="11" t="n">
        <f aca="false">'Tax Tables'!$B$22*(MAX(W568,0)-IF(Calculator!$B$10="Yes",MIN(MAX(W568,0),'Tax Tables'!$B$27)*'Tax Tables'!$B$28+MIN(MAX(MAX(W568,0)-'Tax Tables'!$B$27,0),'Tax Tables'!$B$29)*'Tax Tables'!$B$30,MIN(MAX(W568,0),'Tax Tables'!$B$23)*'Tax Tables'!$B$24+MIN(MAX(MAX(W568,0)-'Tax Tables'!$B$23,0),'Tax Tables'!$B$25)*'Tax Tables'!$B$26))*1-MIN('Tax Tables'!$B$22*(MAX(W568,0)-IF(Calculator!$B$10="Yes",MIN(MAX(W568,0),'Tax Tables'!$B$27)*'Tax Tables'!$B$28+MIN(MAX(MAX(W568,0)-'Tax Tables'!$B$27,0),'Tax Tables'!$B$29)*'Tax Tables'!$B$30,MIN(MAX(W568,0),'Tax Tables'!$B$23)*'Tax Tables'!$B$24+MIN(MAX(MAX(W568,0)-'Tax Tables'!$B$23,0),'Tax Tables'!$B$25)*'Tax Tables'!$B$26))*Calculator!$B$11,Calculator!$B$12)</f>
        <v>8588.825</v>
      </c>
      <c r="Y568" s="11" t="n">
        <f aca="false">MAX(W568,0)-X568</f>
        <v>97456.175</v>
      </c>
      <c r="Z568" s="11" t="n">
        <f aca="false">MIN(IF(P568&gt;0,Calculator!$B$13,0)+T568+Calculator!$B$14,'Tax Tables'!$B$36)</f>
        <v>20200</v>
      </c>
      <c r="AA568" s="11" t="n">
        <f aca="false">MAX(P568-Z568,0)</f>
        <v>257300</v>
      </c>
      <c r="AB568" s="11" t="n">
        <f aca="false">SUMPRODUCT((AA568&gt;'Tax Tables'!$A$5:$A$17)*(AA568-'Tax Tables'!$A$5:$A$17)*'Tax Tables'!$C$5:$C$17)</f>
        <v>32123.5</v>
      </c>
      <c r="AC568" s="11" t="n">
        <f aca="false">IF(W568&lt;0,-1E+099,P568-T568-AB568+Y568+(T568+U568)*Calculator!$B$9)</f>
        <v>359152.675</v>
      </c>
    </row>
    <row r="569" customFormat="false" ht="15" hidden="false" customHeight="false" outlineLevel="0" collapsed="false">
      <c r="A569" s="11" t="n">
        <f aca="false">556*$B$3</f>
        <v>278000</v>
      </c>
      <c r="B569" s="11" t="n">
        <f aca="false">0</f>
        <v>0</v>
      </c>
      <c r="C569" s="11" t="n">
        <f aca="false">A569-B569</f>
        <v>278000</v>
      </c>
      <c r="D569" s="11" t="n">
        <f aca="false">IF(Calculator!$B$6="Yes",MIN(B569,'Tax Tables'!$B$31*'Tax Tables'!$B$32),0)</f>
        <v>0</v>
      </c>
      <c r="E569" s="11" t="n">
        <f aca="false">D569*Calculator!$B$7</f>
        <v>0</v>
      </c>
      <c r="F569" s="11" t="n">
        <f aca="false">D569*Calculator!$B$8</f>
        <v>0</v>
      </c>
      <c r="G569" s="11" t="n">
        <f aca="false">IF(B569&gt;0,'Tax Tables'!$B$32*MIN(MAX(B569/'Tax Tables'!$B$32*'Tax Tables'!$B$33,'Tax Tables'!$B$34),'Tax Tables'!$B$35),0)</f>
        <v>0</v>
      </c>
      <c r="H569" s="11" t="n">
        <f aca="false">Calculator!$B$5-A569-F569-G569</f>
        <v>122000</v>
      </c>
      <c r="I569" s="11" t="n">
        <f aca="false">'Tax Tables'!$B$22*(MAX(H569,0)-IF(Calculator!$B$10="Yes",MIN(MAX(H569,0),'Tax Tables'!$B$27)*'Tax Tables'!$B$28+MIN(MAX(MAX(H569,0)-'Tax Tables'!$B$27,0),'Tax Tables'!$B$29)*'Tax Tables'!$B$30,MIN(MAX(H569,0),'Tax Tables'!$B$23)*'Tax Tables'!$B$24+MIN(MAX(MAX(H569,0)-'Tax Tables'!$B$23,0),'Tax Tables'!$B$25)*'Tax Tables'!$B$26))*1-MIN('Tax Tables'!$B$22*(MAX(H569,0)-IF(Calculator!$B$10="Yes",MIN(MAX(H569,0),'Tax Tables'!$B$27)*'Tax Tables'!$B$28+MIN(MAX(MAX(H569,0)-'Tax Tables'!$B$27,0),'Tax Tables'!$B$29)*'Tax Tables'!$B$30,MIN(MAX(H569,0),'Tax Tables'!$B$23)*'Tax Tables'!$B$24+MIN(MAX(MAX(H569,0)-'Tax Tables'!$B$23,0),'Tax Tables'!$B$25)*'Tax Tables'!$B$26))*Calculator!$B$11,Calculator!$B$12)</f>
        <v>9945</v>
      </c>
      <c r="J569" s="11" t="n">
        <f aca="false">MAX(H569,0)-I569</f>
        <v>112055</v>
      </c>
      <c r="K569" s="11" t="n">
        <f aca="false">MIN(IF(A569&gt;0,Calculator!$B$13,0)+E569+Calculator!$B$14,'Tax Tables'!$B$36)</f>
        <v>1000</v>
      </c>
      <c r="L569" s="11" t="n">
        <f aca="false">MAX(A569-K569,0)</f>
        <v>277000</v>
      </c>
      <c r="M569" s="11" t="n">
        <f aca="false">SUMPRODUCT((L569&gt;'Tax Tables'!$A$5:$A$17)*(L569-'Tax Tables'!$A$5:$A$17)*'Tax Tables'!$C$5:$C$17)</f>
        <v>35965</v>
      </c>
      <c r="N569" s="11" t="n">
        <f aca="false">IF(H569&lt;0,-1E+099,A569-E569-M569+J569+(E569+F569)*Calculator!$B$9)</f>
        <v>354090</v>
      </c>
      <c r="O569" s="2"/>
      <c r="P569" s="11" t="n">
        <f aca="false">556*$B$3</f>
        <v>278000</v>
      </c>
      <c r="Q569" s="11" t="n">
        <f aca="false">MIN(P569,'Tax Tables'!$B$31*'Tax Tables'!$B$32)</f>
        <v>96000</v>
      </c>
      <c r="R569" s="11" t="n">
        <f aca="false">P569-Q569</f>
        <v>182000</v>
      </c>
      <c r="S569" s="11" t="n">
        <f aca="false">IF(Calculator!$B$6="Yes",MIN(Q569,'Tax Tables'!$B$31*'Tax Tables'!$B$32),0)</f>
        <v>96000</v>
      </c>
      <c r="T569" s="11" t="n">
        <f aca="false">S569*Calculator!$B$7</f>
        <v>19200</v>
      </c>
      <c r="U569" s="11" t="n">
        <f aca="false">S569*Calculator!$B$8</f>
        <v>16320</v>
      </c>
      <c r="V569" s="11" t="n">
        <f aca="false">IF(Q569&gt;0,'Tax Tables'!$B$32*MIN(MAX(Q569/'Tax Tables'!$B$32*'Tax Tables'!$B$33,'Tax Tables'!$B$34),'Tax Tables'!$B$35),0)</f>
        <v>135</v>
      </c>
      <c r="W569" s="11" t="n">
        <f aca="false">Calculator!$B$5-P569-U569-V569</f>
        <v>105545</v>
      </c>
      <c r="X569" s="11" t="n">
        <f aca="false">'Tax Tables'!$B$22*(MAX(W569,0)-IF(Calculator!$B$10="Yes",MIN(MAX(W569,0),'Tax Tables'!$B$27)*'Tax Tables'!$B$28+MIN(MAX(MAX(W569,0)-'Tax Tables'!$B$27,0),'Tax Tables'!$B$29)*'Tax Tables'!$B$30,MIN(MAX(W569,0),'Tax Tables'!$B$23)*'Tax Tables'!$B$24+MIN(MAX(MAX(W569,0)-'Tax Tables'!$B$23,0),'Tax Tables'!$B$25)*'Tax Tables'!$B$26))*1-MIN('Tax Tables'!$B$22*(MAX(W569,0)-IF(Calculator!$B$10="Yes",MIN(MAX(W569,0),'Tax Tables'!$B$27)*'Tax Tables'!$B$28+MIN(MAX(MAX(W569,0)-'Tax Tables'!$B$27,0),'Tax Tables'!$B$29)*'Tax Tables'!$B$30,MIN(MAX(W569,0),'Tax Tables'!$B$23)*'Tax Tables'!$B$24+MIN(MAX(MAX(W569,0)-'Tax Tables'!$B$23,0),'Tax Tables'!$B$25)*'Tax Tables'!$B$26))*Calculator!$B$11,Calculator!$B$12)</f>
        <v>8546.325</v>
      </c>
      <c r="Y569" s="11" t="n">
        <f aca="false">MAX(W569,0)-X569</f>
        <v>96998.675</v>
      </c>
      <c r="Z569" s="11" t="n">
        <f aca="false">MIN(IF(P569&gt;0,Calculator!$B$13,0)+T569+Calculator!$B$14,'Tax Tables'!$B$36)</f>
        <v>20200</v>
      </c>
      <c r="AA569" s="11" t="n">
        <f aca="false">MAX(P569-Z569,0)</f>
        <v>257800</v>
      </c>
      <c r="AB569" s="11" t="n">
        <f aca="false">SUMPRODUCT((AA569&gt;'Tax Tables'!$A$5:$A$17)*(AA569-'Tax Tables'!$A$5:$A$17)*'Tax Tables'!$C$5:$C$17)</f>
        <v>32221</v>
      </c>
      <c r="AC569" s="11" t="n">
        <f aca="false">IF(W569&lt;0,-1E+099,P569-T569-AB569+Y569+(T569+U569)*Calculator!$B$9)</f>
        <v>359097.675</v>
      </c>
    </row>
    <row r="570" customFormat="false" ht="15" hidden="false" customHeight="false" outlineLevel="0" collapsed="false">
      <c r="A570" s="11" t="n">
        <f aca="false">557*$B$3</f>
        <v>278500</v>
      </c>
      <c r="B570" s="11" t="n">
        <f aca="false">0</f>
        <v>0</v>
      </c>
      <c r="C570" s="11" t="n">
        <f aca="false">A570-B570</f>
        <v>278500</v>
      </c>
      <c r="D570" s="11" t="n">
        <f aca="false">IF(Calculator!$B$6="Yes",MIN(B570,'Tax Tables'!$B$31*'Tax Tables'!$B$32),0)</f>
        <v>0</v>
      </c>
      <c r="E570" s="11" t="n">
        <f aca="false">D570*Calculator!$B$7</f>
        <v>0</v>
      </c>
      <c r="F570" s="11" t="n">
        <f aca="false">D570*Calculator!$B$8</f>
        <v>0</v>
      </c>
      <c r="G570" s="11" t="n">
        <f aca="false">IF(B570&gt;0,'Tax Tables'!$B$32*MIN(MAX(B570/'Tax Tables'!$B$32*'Tax Tables'!$B$33,'Tax Tables'!$B$34),'Tax Tables'!$B$35),0)</f>
        <v>0</v>
      </c>
      <c r="H570" s="11" t="n">
        <f aca="false">Calculator!$B$5-A570-F570-G570</f>
        <v>121500</v>
      </c>
      <c r="I570" s="11" t="n">
        <f aca="false">'Tax Tables'!$B$22*(MAX(H570,0)-IF(Calculator!$B$10="Yes",MIN(MAX(H570,0),'Tax Tables'!$B$27)*'Tax Tables'!$B$28+MIN(MAX(MAX(H570,0)-'Tax Tables'!$B$27,0),'Tax Tables'!$B$29)*'Tax Tables'!$B$30,MIN(MAX(H570,0),'Tax Tables'!$B$23)*'Tax Tables'!$B$24+MIN(MAX(MAX(H570,0)-'Tax Tables'!$B$23,0),'Tax Tables'!$B$25)*'Tax Tables'!$B$26))*1-MIN('Tax Tables'!$B$22*(MAX(H570,0)-IF(Calculator!$B$10="Yes",MIN(MAX(H570,0),'Tax Tables'!$B$27)*'Tax Tables'!$B$28+MIN(MAX(MAX(H570,0)-'Tax Tables'!$B$27,0),'Tax Tables'!$B$29)*'Tax Tables'!$B$30,MIN(MAX(H570,0),'Tax Tables'!$B$23)*'Tax Tables'!$B$24+MIN(MAX(MAX(H570,0)-'Tax Tables'!$B$23,0),'Tax Tables'!$B$25)*'Tax Tables'!$B$26))*Calculator!$B$11,Calculator!$B$12)</f>
        <v>9902.5</v>
      </c>
      <c r="J570" s="11" t="n">
        <f aca="false">MAX(H570,0)-I570</f>
        <v>111597.5</v>
      </c>
      <c r="K570" s="11" t="n">
        <f aca="false">MIN(IF(A570&gt;0,Calculator!$B$13,0)+E570+Calculator!$B$14,'Tax Tables'!$B$36)</f>
        <v>1000</v>
      </c>
      <c r="L570" s="11" t="n">
        <f aca="false">MAX(A570-K570,0)</f>
        <v>277500</v>
      </c>
      <c r="M570" s="11" t="n">
        <f aca="false">SUMPRODUCT((L570&gt;'Tax Tables'!$A$5:$A$17)*(L570-'Tax Tables'!$A$5:$A$17)*'Tax Tables'!$C$5:$C$17)</f>
        <v>36062.5</v>
      </c>
      <c r="N570" s="11" t="n">
        <f aca="false">IF(H570&lt;0,-1E+099,A570-E570-M570+J570+(E570+F570)*Calculator!$B$9)</f>
        <v>354035</v>
      </c>
      <c r="O570" s="2"/>
      <c r="P570" s="11" t="n">
        <f aca="false">557*$B$3</f>
        <v>278500</v>
      </c>
      <c r="Q570" s="11" t="n">
        <f aca="false">MIN(P570,'Tax Tables'!$B$31*'Tax Tables'!$B$32)</f>
        <v>96000</v>
      </c>
      <c r="R570" s="11" t="n">
        <f aca="false">P570-Q570</f>
        <v>182500</v>
      </c>
      <c r="S570" s="11" t="n">
        <f aca="false">IF(Calculator!$B$6="Yes",MIN(Q570,'Tax Tables'!$B$31*'Tax Tables'!$B$32),0)</f>
        <v>96000</v>
      </c>
      <c r="T570" s="11" t="n">
        <f aca="false">S570*Calculator!$B$7</f>
        <v>19200</v>
      </c>
      <c r="U570" s="11" t="n">
        <f aca="false">S570*Calculator!$B$8</f>
        <v>16320</v>
      </c>
      <c r="V570" s="11" t="n">
        <f aca="false">IF(Q570&gt;0,'Tax Tables'!$B$32*MIN(MAX(Q570/'Tax Tables'!$B$32*'Tax Tables'!$B$33,'Tax Tables'!$B$34),'Tax Tables'!$B$35),0)</f>
        <v>135</v>
      </c>
      <c r="W570" s="11" t="n">
        <f aca="false">Calculator!$B$5-P570-U570-V570</f>
        <v>105045</v>
      </c>
      <c r="X570" s="11" t="n">
        <f aca="false">'Tax Tables'!$B$22*(MAX(W570,0)-IF(Calculator!$B$10="Yes",MIN(MAX(W570,0),'Tax Tables'!$B$27)*'Tax Tables'!$B$28+MIN(MAX(MAX(W570,0)-'Tax Tables'!$B$27,0),'Tax Tables'!$B$29)*'Tax Tables'!$B$30,MIN(MAX(W570,0),'Tax Tables'!$B$23)*'Tax Tables'!$B$24+MIN(MAX(MAX(W570,0)-'Tax Tables'!$B$23,0),'Tax Tables'!$B$25)*'Tax Tables'!$B$26))*1-MIN('Tax Tables'!$B$22*(MAX(W570,0)-IF(Calculator!$B$10="Yes",MIN(MAX(W570,0),'Tax Tables'!$B$27)*'Tax Tables'!$B$28+MIN(MAX(MAX(W570,0)-'Tax Tables'!$B$27,0),'Tax Tables'!$B$29)*'Tax Tables'!$B$30,MIN(MAX(W570,0),'Tax Tables'!$B$23)*'Tax Tables'!$B$24+MIN(MAX(MAX(W570,0)-'Tax Tables'!$B$23,0),'Tax Tables'!$B$25)*'Tax Tables'!$B$26))*Calculator!$B$11,Calculator!$B$12)</f>
        <v>8503.825</v>
      </c>
      <c r="Y570" s="11" t="n">
        <f aca="false">MAX(W570,0)-X570</f>
        <v>96541.175</v>
      </c>
      <c r="Z570" s="11" t="n">
        <f aca="false">MIN(IF(P570&gt;0,Calculator!$B$13,0)+T570+Calculator!$B$14,'Tax Tables'!$B$36)</f>
        <v>20200</v>
      </c>
      <c r="AA570" s="11" t="n">
        <f aca="false">MAX(P570-Z570,0)</f>
        <v>258300</v>
      </c>
      <c r="AB570" s="11" t="n">
        <f aca="false">SUMPRODUCT((AA570&gt;'Tax Tables'!$A$5:$A$17)*(AA570-'Tax Tables'!$A$5:$A$17)*'Tax Tables'!$C$5:$C$17)</f>
        <v>32318.5</v>
      </c>
      <c r="AC570" s="11" t="n">
        <f aca="false">IF(W570&lt;0,-1E+099,P570-T570-AB570+Y570+(T570+U570)*Calculator!$B$9)</f>
        <v>359042.675</v>
      </c>
    </row>
    <row r="571" customFormat="false" ht="15" hidden="false" customHeight="false" outlineLevel="0" collapsed="false">
      <c r="A571" s="11" t="n">
        <f aca="false">558*$B$3</f>
        <v>279000</v>
      </c>
      <c r="B571" s="11" t="n">
        <f aca="false">0</f>
        <v>0</v>
      </c>
      <c r="C571" s="11" t="n">
        <f aca="false">A571-B571</f>
        <v>279000</v>
      </c>
      <c r="D571" s="11" t="n">
        <f aca="false">IF(Calculator!$B$6="Yes",MIN(B571,'Tax Tables'!$B$31*'Tax Tables'!$B$32),0)</f>
        <v>0</v>
      </c>
      <c r="E571" s="11" t="n">
        <f aca="false">D571*Calculator!$B$7</f>
        <v>0</v>
      </c>
      <c r="F571" s="11" t="n">
        <f aca="false">D571*Calculator!$B$8</f>
        <v>0</v>
      </c>
      <c r="G571" s="11" t="n">
        <f aca="false">IF(B571&gt;0,'Tax Tables'!$B$32*MIN(MAX(B571/'Tax Tables'!$B$32*'Tax Tables'!$B$33,'Tax Tables'!$B$34),'Tax Tables'!$B$35),0)</f>
        <v>0</v>
      </c>
      <c r="H571" s="11" t="n">
        <f aca="false">Calculator!$B$5-A571-F571-G571</f>
        <v>121000</v>
      </c>
      <c r="I571" s="11" t="n">
        <f aca="false">'Tax Tables'!$B$22*(MAX(H571,0)-IF(Calculator!$B$10="Yes",MIN(MAX(H571,0),'Tax Tables'!$B$27)*'Tax Tables'!$B$28+MIN(MAX(MAX(H571,0)-'Tax Tables'!$B$27,0),'Tax Tables'!$B$29)*'Tax Tables'!$B$30,MIN(MAX(H571,0),'Tax Tables'!$B$23)*'Tax Tables'!$B$24+MIN(MAX(MAX(H571,0)-'Tax Tables'!$B$23,0),'Tax Tables'!$B$25)*'Tax Tables'!$B$26))*1-MIN('Tax Tables'!$B$22*(MAX(H571,0)-IF(Calculator!$B$10="Yes",MIN(MAX(H571,0),'Tax Tables'!$B$27)*'Tax Tables'!$B$28+MIN(MAX(MAX(H571,0)-'Tax Tables'!$B$27,0),'Tax Tables'!$B$29)*'Tax Tables'!$B$30,MIN(MAX(H571,0),'Tax Tables'!$B$23)*'Tax Tables'!$B$24+MIN(MAX(MAX(H571,0)-'Tax Tables'!$B$23,0),'Tax Tables'!$B$25)*'Tax Tables'!$B$26))*Calculator!$B$11,Calculator!$B$12)</f>
        <v>9860</v>
      </c>
      <c r="J571" s="11" t="n">
        <f aca="false">MAX(H571,0)-I571</f>
        <v>111140</v>
      </c>
      <c r="K571" s="11" t="n">
        <f aca="false">MIN(IF(A571&gt;0,Calculator!$B$13,0)+E571+Calculator!$B$14,'Tax Tables'!$B$36)</f>
        <v>1000</v>
      </c>
      <c r="L571" s="11" t="n">
        <f aca="false">MAX(A571-K571,0)</f>
        <v>278000</v>
      </c>
      <c r="M571" s="11" t="n">
        <f aca="false">SUMPRODUCT((L571&gt;'Tax Tables'!$A$5:$A$17)*(L571-'Tax Tables'!$A$5:$A$17)*'Tax Tables'!$C$5:$C$17)</f>
        <v>36160</v>
      </c>
      <c r="N571" s="11" t="n">
        <f aca="false">IF(H571&lt;0,-1E+099,A571-E571-M571+J571+(E571+F571)*Calculator!$B$9)</f>
        <v>353980</v>
      </c>
      <c r="O571" s="2"/>
      <c r="P571" s="11" t="n">
        <f aca="false">558*$B$3</f>
        <v>279000</v>
      </c>
      <c r="Q571" s="11" t="n">
        <f aca="false">MIN(P571,'Tax Tables'!$B$31*'Tax Tables'!$B$32)</f>
        <v>96000</v>
      </c>
      <c r="R571" s="11" t="n">
        <f aca="false">P571-Q571</f>
        <v>183000</v>
      </c>
      <c r="S571" s="11" t="n">
        <f aca="false">IF(Calculator!$B$6="Yes",MIN(Q571,'Tax Tables'!$B$31*'Tax Tables'!$B$32),0)</f>
        <v>96000</v>
      </c>
      <c r="T571" s="11" t="n">
        <f aca="false">S571*Calculator!$B$7</f>
        <v>19200</v>
      </c>
      <c r="U571" s="11" t="n">
        <f aca="false">S571*Calculator!$B$8</f>
        <v>16320</v>
      </c>
      <c r="V571" s="11" t="n">
        <f aca="false">IF(Q571&gt;0,'Tax Tables'!$B$32*MIN(MAX(Q571/'Tax Tables'!$B$32*'Tax Tables'!$B$33,'Tax Tables'!$B$34),'Tax Tables'!$B$35),0)</f>
        <v>135</v>
      </c>
      <c r="W571" s="11" t="n">
        <f aca="false">Calculator!$B$5-P571-U571-V571</f>
        <v>104545</v>
      </c>
      <c r="X571" s="11" t="n">
        <f aca="false">'Tax Tables'!$B$22*(MAX(W571,0)-IF(Calculator!$B$10="Yes",MIN(MAX(W571,0),'Tax Tables'!$B$27)*'Tax Tables'!$B$28+MIN(MAX(MAX(W571,0)-'Tax Tables'!$B$27,0),'Tax Tables'!$B$29)*'Tax Tables'!$B$30,MIN(MAX(W571,0),'Tax Tables'!$B$23)*'Tax Tables'!$B$24+MIN(MAX(MAX(W571,0)-'Tax Tables'!$B$23,0),'Tax Tables'!$B$25)*'Tax Tables'!$B$26))*1-MIN('Tax Tables'!$B$22*(MAX(W571,0)-IF(Calculator!$B$10="Yes",MIN(MAX(W571,0),'Tax Tables'!$B$27)*'Tax Tables'!$B$28+MIN(MAX(MAX(W571,0)-'Tax Tables'!$B$27,0),'Tax Tables'!$B$29)*'Tax Tables'!$B$30,MIN(MAX(W571,0),'Tax Tables'!$B$23)*'Tax Tables'!$B$24+MIN(MAX(MAX(W571,0)-'Tax Tables'!$B$23,0),'Tax Tables'!$B$25)*'Tax Tables'!$B$26))*Calculator!$B$11,Calculator!$B$12)</f>
        <v>8461.325</v>
      </c>
      <c r="Y571" s="11" t="n">
        <f aca="false">MAX(W571,0)-X571</f>
        <v>96083.675</v>
      </c>
      <c r="Z571" s="11" t="n">
        <f aca="false">MIN(IF(P571&gt;0,Calculator!$B$13,0)+T571+Calculator!$B$14,'Tax Tables'!$B$36)</f>
        <v>20200</v>
      </c>
      <c r="AA571" s="11" t="n">
        <f aca="false">MAX(P571-Z571,0)</f>
        <v>258800</v>
      </c>
      <c r="AB571" s="11" t="n">
        <f aca="false">SUMPRODUCT((AA571&gt;'Tax Tables'!$A$5:$A$17)*(AA571-'Tax Tables'!$A$5:$A$17)*'Tax Tables'!$C$5:$C$17)</f>
        <v>32416</v>
      </c>
      <c r="AC571" s="11" t="n">
        <f aca="false">IF(W571&lt;0,-1E+099,P571-T571-AB571+Y571+(T571+U571)*Calculator!$B$9)</f>
        <v>358987.675</v>
      </c>
    </row>
    <row r="572" customFormat="false" ht="15" hidden="false" customHeight="false" outlineLevel="0" collapsed="false">
      <c r="A572" s="11" t="n">
        <f aca="false">559*$B$3</f>
        <v>279500</v>
      </c>
      <c r="B572" s="11" t="n">
        <f aca="false">0</f>
        <v>0</v>
      </c>
      <c r="C572" s="11" t="n">
        <f aca="false">A572-B572</f>
        <v>279500</v>
      </c>
      <c r="D572" s="11" t="n">
        <f aca="false">IF(Calculator!$B$6="Yes",MIN(B572,'Tax Tables'!$B$31*'Tax Tables'!$B$32),0)</f>
        <v>0</v>
      </c>
      <c r="E572" s="11" t="n">
        <f aca="false">D572*Calculator!$B$7</f>
        <v>0</v>
      </c>
      <c r="F572" s="11" t="n">
        <f aca="false">D572*Calculator!$B$8</f>
        <v>0</v>
      </c>
      <c r="G572" s="11" t="n">
        <f aca="false">IF(B572&gt;0,'Tax Tables'!$B$32*MIN(MAX(B572/'Tax Tables'!$B$32*'Tax Tables'!$B$33,'Tax Tables'!$B$34),'Tax Tables'!$B$35),0)</f>
        <v>0</v>
      </c>
      <c r="H572" s="11" t="n">
        <f aca="false">Calculator!$B$5-A572-F572-G572</f>
        <v>120500</v>
      </c>
      <c r="I572" s="11" t="n">
        <f aca="false">'Tax Tables'!$B$22*(MAX(H572,0)-IF(Calculator!$B$10="Yes",MIN(MAX(H572,0),'Tax Tables'!$B$27)*'Tax Tables'!$B$28+MIN(MAX(MAX(H572,0)-'Tax Tables'!$B$27,0),'Tax Tables'!$B$29)*'Tax Tables'!$B$30,MIN(MAX(H572,0),'Tax Tables'!$B$23)*'Tax Tables'!$B$24+MIN(MAX(MAX(H572,0)-'Tax Tables'!$B$23,0),'Tax Tables'!$B$25)*'Tax Tables'!$B$26))*1-MIN('Tax Tables'!$B$22*(MAX(H572,0)-IF(Calculator!$B$10="Yes",MIN(MAX(H572,0),'Tax Tables'!$B$27)*'Tax Tables'!$B$28+MIN(MAX(MAX(H572,0)-'Tax Tables'!$B$27,0),'Tax Tables'!$B$29)*'Tax Tables'!$B$30,MIN(MAX(H572,0),'Tax Tables'!$B$23)*'Tax Tables'!$B$24+MIN(MAX(MAX(H572,0)-'Tax Tables'!$B$23,0),'Tax Tables'!$B$25)*'Tax Tables'!$B$26))*Calculator!$B$11,Calculator!$B$12)</f>
        <v>9817.5</v>
      </c>
      <c r="J572" s="11" t="n">
        <f aca="false">MAX(H572,0)-I572</f>
        <v>110682.5</v>
      </c>
      <c r="K572" s="11" t="n">
        <f aca="false">MIN(IF(A572&gt;0,Calculator!$B$13,0)+E572+Calculator!$B$14,'Tax Tables'!$B$36)</f>
        <v>1000</v>
      </c>
      <c r="L572" s="11" t="n">
        <f aca="false">MAX(A572-K572,0)</f>
        <v>278500</v>
      </c>
      <c r="M572" s="11" t="n">
        <f aca="false">SUMPRODUCT((L572&gt;'Tax Tables'!$A$5:$A$17)*(L572-'Tax Tables'!$A$5:$A$17)*'Tax Tables'!$C$5:$C$17)</f>
        <v>36257.5</v>
      </c>
      <c r="N572" s="11" t="n">
        <f aca="false">IF(H572&lt;0,-1E+099,A572-E572-M572+J572+(E572+F572)*Calculator!$B$9)</f>
        <v>353925</v>
      </c>
      <c r="O572" s="2"/>
      <c r="P572" s="11" t="n">
        <f aca="false">559*$B$3</f>
        <v>279500</v>
      </c>
      <c r="Q572" s="11" t="n">
        <f aca="false">MIN(P572,'Tax Tables'!$B$31*'Tax Tables'!$B$32)</f>
        <v>96000</v>
      </c>
      <c r="R572" s="11" t="n">
        <f aca="false">P572-Q572</f>
        <v>183500</v>
      </c>
      <c r="S572" s="11" t="n">
        <f aca="false">IF(Calculator!$B$6="Yes",MIN(Q572,'Tax Tables'!$B$31*'Tax Tables'!$B$32),0)</f>
        <v>96000</v>
      </c>
      <c r="T572" s="11" t="n">
        <f aca="false">S572*Calculator!$B$7</f>
        <v>19200</v>
      </c>
      <c r="U572" s="11" t="n">
        <f aca="false">S572*Calculator!$B$8</f>
        <v>16320</v>
      </c>
      <c r="V572" s="11" t="n">
        <f aca="false">IF(Q572&gt;0,'Tax Tables'!$B$32*MIN(MAX(Q572/'Tax Tables'!$B$32*'Tax Tables'!$B$33,'Tax Tables'!$B$34),'Tax Tables'!$B$35),0)</f>
        <v>135</v>
      </c>
      <c r="W572" s="11" t="n">
        <f aca="false">Calculator!$B$5-P572-U572-V572</f>
        <v>104045</v>
      </c>
      <c r="X572" s="11" t="n">
        <f aca="false">'Tax Tables'!$B$22*(MAX(W572,0)-IF(Calculator!$B$10="Yes",MIN(MAX(W572,0),'Tax Tables'!$B$27)*'Tax Tables'!$B$28+MIN(MAX(MAX(W572,0)-'Tax Tables'!$B$27,0),'Tax Tables'!$B$29)*'Tax Tables'!$B$30,MIN(MAX(W572,0),'Tax Tables'!$B$23)*'Tax Tables'!$B$24+MIN(MAX(MAX(W572,0)-'Tax Tables'!$B$23,0),'Tax Tables'!$B$25)*'Tax Tables'!$B$26))*1-MIN('Tax Tables'!$B$22*(MAX(W572,0)-IF(Calculator!$B$10="Yes",MIN(MAX(W572,0),'Tax Tables'!$B$27)*'Tax Tables'!$B$28+MIN(MAX(MAX(W572,0)-'Tax Tables'!$B$27,0),'Tax Tables'!$B$29)*'Tax Tables'!$B$30,MIN(MAX(W572,0),'Tax Tables'!$B$23)*'Tax Tables'!$B$24+MIN(MAX(MAX(W572,0)-'Tax Tables'!$B$23,0),'Tax Tables'!$B$25)*'Tax Tables'!$B$26))*Calculator!$B$11,Calculator!$B$12)</f>
        <v>8418.825</v>
      </c>
      <c r="Y572" s="11" t="n">
        <f aca="false">MAX(W572,0)-X572</f>
        <v>95626.175</v>
      </c>
      <c r="Z572" s="11" t="n">
        <f aca="false">MIN(IF(P572&gt;0,Calculator!$B$13,0)+T572+Calculator!$B$14,'Tax Tables'!$B$36)</f>
        <v>20200</v>
      </c>
      <c r="AA572" s="11" t="n">
        <f aca="false">MAX(P572-Z572,0)</f>
        <v>259300</v>
      </c>
      <c r="AB572" s="11" t="n">
        <f aca="false">SUMPRODUCT((AA572&gt;'Tax Tables'!$A$5:$A$17)*(AA572-'Tax Tables'!$A$5:$A$17)*'Tax Tables'!$C$5:$C$17)</f>
        <v>32513.5</v>
      </c>
      <c r="AC572" s="11" t="n">
        <f aca="false">IF(W572&lt;0,-1E+099,P572-T572-AB572+Y572+(T572+U572)*Calculator!$B$9)</f>
        <v>358932.675</v>
      </c>
    </row>
    <row r="573" customFormat="false" ht="15" hidden="false" customHeight="false" outlineLevel="0" collapsed="false">
      <c r="A573" s="11" t="n">
        <f aca="false">560*$B$3</f>
        <v>280000</v>
      </c>
      <c r="B573" s="11" t="n">
        <f aca="false">0</f>
        <v>0</v>
      </c>
      <c r="C573" s="11" t="n">
        <f aca="false">A573-B573</f>
        <v>280000</v>
      </c>
      <c r="D573" s="11" t="n">
        <f aca="false">IF(Calculator!$B$6="Yes",MIN(B573,'Tax Tables'!$B$31*'Tax Tables'!$B$32),0)</f>
        <v>0</v>
      </c>
      <c r="E573" s="11" t="n">
        <f aca="false">D573*Calculator!$B$7</f>
        <v>0</v>
      </c>
      <c r="F573" s="11" t="n">
        <f aca="false">D573*Calculator!$B$8</f>
        <v>0</v>
      </c>
      <c r="G573" s="11" t="n">
        <f aca="false">IF(B573&gt;0,'Tax Tables'!$B$32*MIN(MAX(B573/'Tax Tables'!$B$32*'Tax Tables'!$B$33,'Tax Tables'!$B$34),'Tax Tables'!$B$35),0)</f>
        <v>0</v>
      </c>
      <c r="H573" s="11" t="n">
        <f aca="false">Calculator!$B$5-A573-F573-G573</f>
        <v>120000</v>
      </c>
      <c r="I573" s="11" t="n">
        <f aca="false">'Tax Tables'!$B$22*(MAX(H573,0)-IF(Calculator!$B$10="Yes",MIN(MAX(H573,0),'Tax Tables'!$B$27)*'Tax Tables'!$B$28+MIN(MAX(MAX(H573,0)-'Tax Tables'!$B$27,0),'Tax Tables'!$B$29)*'Tax Tables'!$B$30,MIN(MAX(H573,0),'Tax Tables'!$B$23)*'Tax Tables'!$B$24+MIN(MAX(MAX(H573,0)-'Tax Tables'!$B$23,0),'Tax Tables'!$B$25)*'Tax Tables'!$B$26))*1-MIN('Tax Tables'!$B$22*(MAX(H573,0)-IF(Calculator!$B$10="Yes",MIN(MAX(H573,0),'Tax Tables'!$B$27)*'Tax Tables'!$B$28+MIN(MAX(MAX(H573,0)-'Tax Tables'!$B$27,0),'Tax Tables'!$B$29)*'Tax Tables'!$B$30,MIN(MAX(H573,0),'Tax Tables'!$B$23)*'Tax Tables'!$B$24+MIN(MAX(MAX(H573,0)-'Tax Tables'!$B$23,0),'Tax Tables'!$B$25)*'Tax Tables'!$B$26))*Calculator!$B$11,Calculator!$B$12)</f>
        <v>9775</v>
      </c>
      <c r="J573" s="11" t="n">
        <f aca="false">MAX(H573,0)-I573</f>
        <v>110225</v>
      </c>
      <c r="K573" s="11" t="n">
        <f aca="false">MIN(IF(A573&gt;0,Calculator!$B$13,0)+E573+Calculator!$B$14,'Tax Tables'!$B$36)</f>
        <v>1000</v>
      </c>
      <c r="L573" s="11" t="n">
        <f aca="false">MAX(A573-K573,0)</f>
        <v>279000</v>
      </c>
      <c r="M573" s="11" t="n">
        <f aca="false">SUMPRODUCT((L573&gt;'Tax Tables'!$A$5:$A$17)*(L573-'Tax Tables'!$A$5:$A$17)*'Tax Tables'!$C$5:$C$17)</f>
        <v>36355</v>
      </c>
      <c r="N573" s="11" t="n">
        <f aca="false">IF(H573&lt;0,-1E+099,A573-E573-M573+J573+(E573+F573)*Calculator!$B$9)</f>
        <v>353870</v>
      </c>
      <c r="O573" s="2"/>
      <c r="P573" s="11" t="n">
        <f aca="false">560*$B$3</f>
        <v>280000</v>
      </c>
      <c r="Q573" s="11" t="n">
        <f aca="false">MIN(P573,'Tax Tables'!$B$31*'Tax Tables'!$B$32)</f>
        <v>96000</v>
      </c>
      <c r="R573" s="11" t="n">
        <f aca="false">P573-Q573</f>
        <v>184000</v>
      </c>
      <c r="S573" s="11" t="n">
        <f aca="false">IF(Calculator!$B$6="Yes",MIN(Q573,'Tax Tables'!$B$31*'Tax Tables'!$B$32),0)</f>
        <v>96000</v>
      </c>
      <c r="T573" s="11" t="n">
        <f aca="false">S573*Calculator!$B$7</f>
        <v>19200</v>
      </c>
      <c r="U573" s="11" t="n">
        <f aca="false">S573*Calculator!$B$8</f>
        <v>16320</v>
      </c>
      <c r="V573" s="11" t="n">
        <f aca="false">IF(Q573&gt;0,'Tax Tables'!$B$32*MIN(MAX(Q573/'Tax Tables'!$B$32*'Tax Tables'!$B$33,'Tax Tables'!$B$34),'Tax Tables'!$B$35),0)</f>
        <v>135</v>
      </c>
      <c r="W573" s="11" t="n">
        <f aca="false">Calculator!$B$5-P573-U573-V573</f>
        <v>103545</v>
      </c>
      <c r="X573" s="11" t="n">
        <f aca="false">'Tax Tables'!$B$22*(MAX(W573,0)-IF(Calculator!$B$10="Yes",MIN(MAX(W573,0),'Tax Tables'!$B$27)*'Tax Tables'!$B$28+MIN(MAX(MAX(W573,0)-'Tax Tables'!$B$27,0),'Tax Tables'!$B$29)*'Tax Tables'!$B$30,MIN(MAX(W573,0),'Tax Tables'!$B$23)*'Tax Tables'!$B$24+MIN(MAX(MAX(W573,0)-'Tax Tables'!$B$23,0),'Tax Tables'!$B$25)*'Tax Tables'!$B$26))*1-MIN('Tax Tables'!$B$22*(MAX(W573,0)-IF(Calculator!$B$10="Yes",MIN(MAX(W573,0),'Tax Tables'!$B$27)*'Tax Tables'!$B$28+MIN(MAX(MAX(W573,0)-'Tax Tables'!$B$27,0),'Tax Tables'!$B$29)*'Tax Tables'!$B$30,MIN(MAX(W573,0),'Tax Tables'!$B$23)*'Tax Tables'!$B$24+MIN(MAX(MAX(W573,0)-'Tax Tables'!$B$23,0),'Tax Tables'!$B$25)*'Tax Tables'!$B$26))*Calculator!$B$11,Calculator!$B$12)</f>
        <v>8376.325</v>
      </c>
      <c r="Y573" s="11" t="n">
        <f aca="false">MAX(W573,0)-X573</f>
        <v>95168.675</v>
      </c>
      <c r="Z573" s="11" t="n">
        <f aca="false">MIN(IF(P573&gt;0,Calculator!$B$13,0)+T573+Calculator!$B$14,'Tax Tables'!$B$36)</f>
        <v>20200</v>
      </c>
      <c r="AA573" s="11" t="n">
        <f aca="false">MAX(P573-Z573,0)</f>
        <v>259800</v>
      </c>
      <c r="AB573" s="11" t="n">
        <f aca="false">SUMPRODUCT((AA573&gt;'Tax Tables'!$A$5:$A$17)*(AA573-'Tax Tables'!$A$5:$A$17)*'Tax Tables'!$C$5:$C$17)</f>
        <v>32611</v>
      </c>
      <c r="AC573" s="11" t="n">
        <f aca="false">IF(W573&lt;0,-1E+099,P573-T573-AB573+Y573+(T573+U573)*Calculator!$B$9)</f>
        <v>358877.675</v>
      </c>
    </row>
    <row r="574" customFormat="false" ht="15" hidden="false" customHeight="false" outlineLevel="0" collapsed="false">
      <c r="A574" s="11" t="n">
        <f aca="false">561*$B$3</f>
        <v>280500</v>
      </c>
      <c r="B574" s="11" t="n">
        <f aca="false">0</f>
        <v>0</v>
      </c>
      <c r="C574" s="11" t="n">
        <f aca="false">A574-B574</f>
        <v>280500</v>
      </c>
      <c r="D574" s="11" t="n">
        <f aca="false">IF(Calculator!$B$6="Yes",MIN(B574,'Tax Tables'!$B$31*'Tax Tables'!$B$32),0)</f>
        <v>0</v>
      </c>
      <c r="E574" s="11" t="n">
        <f aca="false">D574*Calculator!$B$7</f>
        <v>0</v>
      </c>
      <c r="F574" s="11" t="n">
        <f aca="false">D574*Calculator!$B$8</f>
        <v>0</v>
      </c>
      <c r="G574" s="11" t="n">
        <f aca="false">IF(B574&gt;0,'Tax Tables'!$B$32*MIN(MAX(B574/'Tax Tables'!$B$32*'Tax Tables'!$B$33,'Tax Tables'!$B$34),'Tax Tables'!$B$35),0)</f>
        <v>0</v>
      </c>
      <c r="H574" s="11" t="n">
        <f aca="false">Calculator!$B$5-A574-F574-G574</f>
        <v>119500</v>
      </c>
      <c r="I574" s="11" t="n">
        <f aca="false">'Tax Tables'!$B$22*(MAX(H574,0)-IF(Calculator!$B$10="Yes",MIN(MAX(H574,0),'Tax Tables'!$B$27)*'Tax Tables'!$B$28+MIN(MAX(MAX(H574,0)-'Tax Tables'!$B$27,0),'Tax Tables'!$B$29)*'Tax Tables'!$B$30,MIN(MAX(H574,0),'Tax Tables'!$B$23)*'Tax Tables'!$B$24+MIN(MAX(MAX(H574,0)-'Tax Tables'!$B$23,0),'Tax Tables'!$B$25)*'Tax Tables'!$B$26))*1-MIN('Tax Tables'!$B$22*(MAX(H574,0)-IF(Calculator!$B$10="Yes",MIN(MAX(H574,0),'Tax Tables'!$B$27)*'Tax Tables'!$B$28+MIN(MAX(MAX(H574,0)-'Tax Tables'!$B$27,0),'Tax Tables'!$B$29)*'Tax Tables'!$B$30,MIN(MAX(H574,0),'Tax Tables'!$B$23)*'Tax Tables'!$B$24+MIN(MAX(MAX(H574,0)-'Tax Tables'!$B$23,0),'Tax Tables'!$B$25)*'Tax Tables'!$B$26))*Calculator!$B$11,Calculator!$B$12)</f>
        <v>9732.5</v>
      </c>
      <c r="J574" s="11" t="n">
        <f aca="false">MAX(H574,0)-I574</f>
        <v>109767.5</v>
      </c>
      <c r="K574" s="11" t="n">
        <f aca="false">MIN(IF(A574&gt;0,Calculator!$B$13,0)+E574+Calculator!$B$14,'Tax Tables'!$B$36)</f>
        <v>1000</v>
      </c>
      <c r="L574" s="11" t="n">
        <f aca="false">MAX(A574-K574,0)</f>
        <v>279500</v>
      </c>
      <c r="M574" s="11" t="n">
        <f aca="false">SUMPRODUCT((L574&gt;'Tax Tables'!$A$5:$A$17)*(L574-'Tax Tables'!$A$5:$A$17)*'Tax Tables'!$C$5:$C$17)</f>
        <v>36452.5</v>
      </c>
      <c r="N574" s="11" t="n">
        <f aca="false">IF(H574&lt;0,-1E+099,A574-E574-M574+J574+(E574+F574)*Calculator!$B$9)</f>
        <v>353815</v>
      </c>
      <c r="O574" s="2"/>
      <c r="P574" s="11" t="n">
        <f aca="false">561*$B$3</f>
        <v>280500</v>
      </c>
      <c r="Q574" s="11" t="n">
        <f aca="false">MIN(P574,'Tax Tables'!$B$31*'Tax Tables'!$B$32)</f>
        <v>96000</v>
      </c>
      <c r="R574" s="11" t="n">
        <f aca="false">P574-Q574</f>
        <v>184500</v>
      </c>
      <c r="S574" s="11" t="n">
        <f aca="false">IF(Calculator!$B$6="Yes",MIN(Q574,'Tax Tables'!$B$31*'Tax Tables'!$B$32),0)</f>
        <v>96000</v>
      </c>
      <c r="T574" s="11" t="n">
        <f aca="false">S574*Calculator!$B$7</f>
        <v>19200</v>
      </c>
      <c r="U574" s="11" t="n">
        <f aca="false">S574*Calculator!$B$8</f>
        <v>16320</v>
      </c>
      <c r="V574" s="11" t="n">
        <f aca="false">IF(Q574&gt;0,'Tax Tables'!$B$32*MIN(MAX(Q574/'Tax Tables'!$B$32*'Tax Tables'!$B$33,'Tax Tables'!$B$34),'Tax Tables'!$B$35),0)</f>
        <v>135</v>
      </c>
      <c r="W574" s="11" t="n">
        <f aca="false">Calculator!$B$5-P574-U574-V574</f>
        <v>103045</v>
      </c>
      <c r="X574" s="11" t="n">
        <f aca="false">'Tax Tables'!$B$22*(MAX(W574,0)-IF(Calculator!$B$10="Yes",MIN(MAX(W574,0),'Tax Tables'!$B$27)*'Tax Tables'!$B$28+MIN(MAX(MAX(W574,0)-'Tax Tables'!$B$27,0),'Tax Tables'!$B$29)*'Tax Tables'!$B$30,MIN(MAX(W574,0),'Tax Tables'!$B$23)*'Tax Tables'!$B$24+MIN(MAX(MAX(W574,0)-'Tax Tables'!$B$23,0),'Tax Tables'!$B$25)*'Tax Tables'!$B$26))*1-MIN('Tax Tables'!$B$22*(MAX(W574,0)-IF(Calculator!$B$10="Yes",MIN(MAX(W574,0),'Tax Tables'!$B$27)*'Tax Tables'!$B$28+MIN(MAX(MAX(W574,0)-'Tax Tables'!$B$27,0),'Tax Tables'!$B$29)*'Tax Tables'!$B$30,MIN(MAX(W574,0),'Tax Tables'!$B$23)*'Tax Tables'!$B$24+MIN(MAX(MAX(W574,0)-'Tax Tables'!$B$23,0),'Tax Tables'!$B$25)*'Tax Tables'!$B$26))*Calculator!$B$11,Calculator!$B$12)</f>
        <v>8333.825</v>
      </c>
      <c r="Y574" s="11" t="n">
        <f aca="false">MAX(W574,0)-X574</f>
        <v>94711.175</v>
      </c>
      <c r="Z574" s="11" t="n">
        <f aca="false">MIN(IF(P574&gt;0,Calculator!$B$13,0)+T574+Calculator!$B$14,'Tax Tables'!$B$36)</f>
        <v>20200</v>
      </c>
      <c r="AA574" s="11" t="n">
        <f aca="false">MAX(P574-Z574,0)</f>
        <v>260300</v>
      </c>
      <c r="AB574" s="11" t="n">
        <f aca="false">SUMPRODUCT((AA574&gt;'Tax Tables'!$A$5:$A$17)*(AA574-'Tax Tables'!$A$5:$A$17)*'Tax Tables'!$C$5:$C$17)</f>
        <v>32708.5</v>
      </c>
      <c r="AC574" s="11" t="n">
        <f aca="false">IF(W574&lt;0,-1E+099,P574-T574-AB574+Y574+(T574+U574)*Calculator!$B$9)</f>
        <v>358822.675</v>
      </c>
    </row>
    <row r="575" customFormat="false" ht="15" hidden="false" customHeight="false" outlineLevel="0" collapsed="false">
      <c r="A575" s="11" t="n">
        <f aca="false">562*$B$3</f>
        <v>281000</v>
      </c>
      <c r="B575" s="11" t="n">
        <f aca="false">0</f>
        <v>0</v>
      </c>
      <c r="C575" s="11" t="n">
        <f aca="false">A575-B575</f>
        <v>281000</v>
      </c>
      <c r="D575" s="11" t="n">
        <f aca="false">IF(Calculator!$B$6="Yes",MIN(B575,'Tax Tables'!$B$31*'Tax Tables'!$B$32),0)</f>
        <v>0</v>
      </c>
      <c r="E575" s="11" t="n">
        <f aca="false">D575*Calculator!$B$7</f>
        <v>0</v>
      </c>
      <c r="F575" s="11" t="n">
        <f aca="false">D575*Calculator!$B$8</f>
        <v>0</v>
      </c>
      <c r="G575" s="11" t="n">
        <f aca="false">IF(B575&gt;0,'Tax Tables'!$B$32*MIN(MAX(B575/'Tax Tables'!$B$32*'Tax Tables'!$B$33,'Tax Tables'!$B$34),'Tax Tables'!$B$35),0)</f>
        <v>0</v>
      </c>
      <c r="H575" s="11" t="n">
        <f aca="false">Calculator!$B$5-A575-F575-G575</f>
        <v>119000</v>
      </c>
      <c r="I575" s="11" t="n">
        <f aca="false">'Tax Tables'!$B$22*(MAX(H575,0)-IF(Calculator!$B$10="Yes",MIN(MAX(H575,0),'Tax Tables'!$B$27)*'Tax Tables'!$B$28+MIN(MAX(MAX(H575,0)-'Tax Tables'!$B$27,0),'Tax Tables'!$B$29)*'Tax Tables'!$B$30,MIN(MAX(H575,0),'Tax Tables'!$B$23)*'Tax Tables'!$B$24+MIN(MAX(MAX(H575,0)-'Tax Tables'!$B$23,0),'Tax Tables'!$B$25)*'Tax Tables'!$B$26))*1-MIN('Tax Tables'!$B$22*(MAX(H575,0)-IF(Calculator!$B$10="Yes",MIN(MAX(H575,0),'Tax Tables'!$B$27)*'Tax Tables'!$B$28+MIN(MAX(MAX(H575,0)-'Tax Tables'!$B$27,0),'Tax Tables'!$B$29)*'Tax Tables'!$B$30,MIN(MAX(H575,0),'Tax Tables'!$B$23)*'Tax Tables'!$B$24+MIN(MAX(MAX(H575,0)-'Tax Tables'!$B$23,0),'Tax Tables'!$B$25)*'Tax Tables'!$B$26))*Calculator!$B$11,Calculator!$B$12)</f>
        <v>9690</v>
      </c>
      <c r="J575" s="11" t="n">
        <f aca="false">MAX(H575,0)-I575</f>
        <v>109310</v>
      </c>
      <c r="K575" s="11" t="n">
        <f aca="false">MIN(IF(A575&gt;0,Calculator!$B$13,0)+E575+Calculator!$B$14,'Tax Tables'!$B$36)</f>
        <v>1000</v>
      </c>
      <c r="L575" s="11" t="n">
        <f aca="false">MAX(A575-K575,0)</f>
        <v>280000</v>
      </c>
      <c r="M575" s="11" t="n">
        <f aca="false">SUMPRODUCT((L575&gt;'Tax Tables'!$A$5:$A$17)*(L575-'Tax Tables'!$A$5:$A$17)*'Tax Tables'!$C$5:$C$17)</f>
        <v>36550</v>
      </c>
      <c r="N575" s="11" t="n">
        <f aca="false">IF(H575&lt;0,-1E+099,A575-E575-M575+J575+(E575+F575)*Calculator!$B$9)</f>
        <v>353760</v>
      </c>
      <c r="O575" s="2"/>
      <c r="P575" s="11" t="n">
        <f aca="false">562*$B$3</f>
        <v>281000</v>
      </c>
      <c r="Q575" s="11" t="n">
        <f aca="false">MIN(P575,'Tax Tables'!$B$31*'Tax Tables'!$B$32)</f>
        <v>96000</v>
      </c>
      <c r="R575" s="11" t="n">
        <f aca="false">P575-Q575</f>
        <v>185000</v>
      </c>
      <c r="S575" s="11" t="n">
        <f aca="false">IF(Calculator!$B$6="Yes",MIN(Q575,'Tax Tables'!$B$31*'Tax Tables'!$B$32),0)</f>
        <v>96000</v>
      </c>
      <c r="T575" s="11" t="n">
        <f aca="false">S575*Calculator!$B$7</f>
        <v>19200</v>
      </c>
      <c r="U575" s="11" t="n">
        <f aca="false">S575*Calculator!$B$8</f>
        <v>16320</v>
      </c>
      <c r="V575" s="11" t="n">
        <f aca="false">IF(Q575&gt;0,'Tax Tables'!$B$32*MIN(MAX(Q575/'Tax Tables'!$B$32*'Tax Tables'!$B$33,'Tax Tables'!$B$34),'Tax Tables'!$B$35),0)</f>
        <v>135</v>
      </c>
      <c r="W575" s="11" t="n">
        <f aca="false">Calculator!$B$5-P575-U575-V575</f>
        <v>102545</v>
      </c>
      <c r="X575" s="11" t="n">
        <f aca="false">'Tax Tables'!$B$22*(MAX(W575,0)-IF(Calculator!$B$10="Yes",MIN(MAX(W575,0),'Tax Tables'!$B$27)*'Tax Tables'!$B$28+MIN(MAX(MAX(W575,0)-'Tax Tables'!$B$27,0),'Tax Tables'!$B$29)*'Tax Tables'!$B$30,MIN(MAX(W575,0),'Tax Tables'!$B$23)*'Tax Tables'!$B$24+MIN(MAX(MAX(W575,0)-'Tax Tables'!$B$23,0),'Tax Tables'!$B$25)*'Tax Tables'!$B$26))*1-MIN('Tax Tables'!$B$22*(MAX(W575,0)-IF(Calculator!$B$10="Yes",MIN(MAX(W575,0),'Tax Tables'!$B$27)*'Tax Tables'!$B$28+MIN(MAX(MAX(W575,0)-'Tax Tables'!$B$27,0),'Tax Tables'!$B$29)*'Tax Tables'!$B$30,MIN(MAX(W575,0),'Tax Tables'!$B$23)*'Tax Tables'!$B$24+MIN(MAX(MAX(W575,0)-'Tax Tables'!$B$23,0),'Tax Tables'!$B$25)*'Tax Tables'!$B$26))*Calculator!$B$11,Calculator!$B$12)</f>
        <v>8291.325</v>
      </c>
      <c r="Y575" s="11" t="n">
        <f aca="false">MAX(W575,0)-X575</f>
        <v>94253.675</v>
      </c>
      <c r="Z575" s="11" t="n">
        <f aca="false">MIN(IF(P575&gt;0,Calculator!$B$13,0)+T575+Calculator!$B$14,'Tax Tables'!$B$36)</f>
        <v>20200</v>
      </c>
      <c r="AA575" s="11" t="n">
        <f aca="false">MAX(P575-Z575,0)</f>
        <v>260800</v>
      </c>
      <c r="AB575" s="11" t="n">
        <f aca="false">SUMPRODUCT((AA575&gt;'Tax Tables'!$A$5:$A$17)*(AA575-'Tax Tables'!$A$5:$A$17)*'Tax Tables'!$C$5:$C$17)</f>
        <v>32806</v>
      </c>
      <c r="AC575" s="11" t="n">
        <f aca="false">IF(W575&lt;0,-1E+099,P575-T575-AB575+Y575+(T575+U575)*Calculator!$B$9)</f>
        <v>358767.675</v>
      </c>
    </row>
    <row r="576" customFormat="false" ht="15" hidden="false" customHeight="false" outlineLevel="0" collapsed="false">
      <c r="A576" s="11" t="n">
        <f aca="false">563*$B$3</f>
        <v>281500</v>
      </c>
      <c r="B576" s="11" t="n">
        <f aca="false">0</f>
        <v>0</v>
      </c>
      <c r="C576" s="11" t="n">
        <f aca="false">A576-B576</f>
        <v>281500</v>
      </c>
      <c r="D576" s="11" t="n">
        <f aca="false">IF(Calculator!$B$6="Yes",MIN(B576,'Tax Tables'!$B$31*'Tax Tables'!$B$32),0)</f>
        <v>0</v>
      </c>
      <c r="E576" s="11" t="n">
        <f aca="false">D576*Calculator!$B$7</f>
        <v>0</v>
      </c>
      <c r="F576" s="11" t="n">
        <f aca="false">D576*Calculator!$B$8</f>
        <v>0</v>
      </c>
      <c r="G576" s="11" t="n">
        <f aca="false">IF(B576&gt;0,'Tax Tables'!$B$32*MIN(MAX(B576/'Tax Tables'!$B$32*'Tax Tables'!$B$33,'Tax Tables'!$B$34),'Tax Tables'!$B$35),0)</f>
        <v>0</v>
      </c>
      <c r="H576" s="11" t="n">
        <f aca="false">Calculator!$B$5-A576-F576-G576</f>
        <v>118500</v>
      </c>
      <c r="I576" s="11" t="n">
        <f aca="false">'Tax Tables'!$B$22*(MAX(H576,0)-IF(Calculator!$B$10="Yes",MIN(MAX(H576,0),'Tax Tables'!$B$27)*'Tax Tables'!$B$28+MIN(MAX(MAX(H576,0)-'Tax Tables'!$B$27,0),'Tax Tables'!$B$29)*'Tax Tables'!$B$30,MIN(MAX(H576,0),'Tax Tables'!$B$23)*'Tax Tables'!$B$24+MIN(MAX(MAX(H576,0)-'Tax Tables'!$B$23,0),'Tax Tables'!$B$25)*'Tax Tables'!$B$26))*1-MIN('Tax Tables'!$B$22*(MAX(H576,0)-IF(Calculator!$B$10="Yes",MIN(MAX(H576,0),'Tax Tables'!$B$27)*'Tax Tables'!$B$28+MIN(MAX(MAX(H576,0)-'Tax Tables'!$B$27,0),'Tax Tables'!$B$29)*'Tax Tables'!$B$30,MIN(MAX(H576,0),'Tax Tables'!$B$23)*'Tax Tables'!$B$24+MIN(MAX(MAX(H576,0)-'Tax Tables'!$B$23,0),'Tax Tables'!$B$25)*'Tax Tables'!$B$26))*Calculator!$B$11,Calculator!$B$12)</f>
        <v>9647.5</v>
      </c>
      <c r="J576" s="11" t="n">
        <f aca="false">MAX(H576,0)-I576</f>
        <v>108852.5</v>
      </c>
      <c r="K576" s="11" t="n">
        <f aca="false">MIN(IF(A576&gt;0,Calculator!$B$13,0)+E576+Calculator!$B$14,'Tax Tables'!$B$36)</f>
        <v>1000</v>
      </c>
      <c r="L576" s="11" t="n">
        <f aca="false">MAX(A576-K576,0)</f>
        <v>280500</v>
      </c>
      <c r="M576" s="11" t="n">
        <f aca="false">SUMPRODUCT((L576&gt;'Tax Tables'!$A$5:$A$17)*(L576-'Tax Tables'!$A$5:$A$17)*'Tax Tables'!$C$5:$C$17)</f>
        <v>36650</v>
      </c>
      <c r="N576" s="11" t="n">
        <f aca="false">IF(H576&lt;0,-1E+099,A576-E576-M576+J576+(E576+F576)*Calculator!$B$9)</f>
        <v>353702.5</v>
      </c>
      <c r="O576" s="2"/>
      <c r="P576" s="11" t="n">
        <f aca="false">563*$B$3</f>
        <v>281500</v>
      </c>
      <c r="Q576" s="11" t="n">
        <f aca="false">MIN(P576,'Tax Tables'!$B$31*'Tax Tables'!$B$32)</f>
        <v>96000</v>
      </c>
      <c r="R576" s="11" t="n">
        <f aca="false">P576-Q576</f>
        <v>185500</v>
      </c>
      <c r="S576" s="11" t="n">
        <f aca="false">IF(Calculator!$B$6="Yes",MIN(Q576,'Tax Tables'!$B$31*'Tax Tables'!$B$32),0)</f>
        <v>96000</v>
      </c>
      <c r="T576" s="11" t="n">
        <f aca="false">S576*Calculator!$B$7</f>
        <v>19200</v>
      </c>
      <c r="U576" s="11" t="n">
        <f aca="false">S576*Calculator!$B$8</f>
        <v>16320</v>
      </c>
      <c r="V576" s="11" t="n">
        <f aca="false">IF(Q576&gt;0,'Tax Tables'!$B$32*MIN(MAX(Q576/'Tax Tables'!$B$32*'Tax Tables'!$B$33,'Tax Tables'!$B$34),'Tax Tables'!$B$35),0)</f>
        <v>135</v>
      </c>
      <c r="W576" s="11" t="n">
        <f aca="false">Calculator!$B$5-P576-U576-V576</f>
        <v>102045</v>
      </c>
      <c r="X576" s="11" t="n">
        <f aca="false">'Tax Tables'!$B$22*(MAX(W576,0)-IF(Calculator!$B$10="Yes",MIN(MAX(W576,0),'Tax Tables'!$B$27)*'Tax Tables'!$B$28+MIN(MAX(MAX(W576,0)-'Tax Tables'!$B$27,0),'Tax Tables'!$B$29)*'Tax Tables'!$B$30,MIN(MAX(W576,0),'Tax Tables'!$B$23)*'Tax Tables'!$B$24+MIN(MAX(MAX(W576,0)-'Tax Tables'!$B$23,0),'Tax Tables'!$B$25)*'Tax Tables'!$B$26))*1-MIN('Tax Tables'!$B$22*(MAX(W576,0)-IF(Calculator!$B$10="Yes",MIN(MAX(W576,0),'Tax Tables'!$B$27)*'Tax Tables'!$B$28+MIN(MAX(MAX(W576,0)-'Tax Tables'!$B$27,0),'Tax Tables'!$B$29)*'Tax Tables'!$B$30,MIN(MAX(W576,0),'Tax Tables'!$B$23)*'Tax Tables'!$B$24+MIN(MAX(MAX(W576,0)-'Tax Tables'!$B$23,0),'Tax Tables'!$B$25)*'Tax Tables'!$B$26))*Calculator!$B$11,Calculator!$B$12)</f>
        <v>8248.825</v>
      </c>
      <c r="Y576" s="11" t="n">
        <f aca="false">MAX(W576,0)-X576</f>
        <v>93796.175</v>
      </c>
      <c r="Z576" s="11" t="n">
        <f aca="false">MIN(IF(P576&gt;0,Calculator!$B$13,0)+T576+Calculator!$B$14,'Tax Tables'!$B$36)</f>
        <v>20200</v>
      </c>
      <c r="AA576" s="11" t="n">
        <f aca="false">MAX(P576-Z576,0)</f>
        <v>261300</v>
      </c>
      <c r="AB576" s="11" t="n">
        <f aca="false">SUMPRODUCT((AA576&gt;'Tax Tables'!$A$5:$A$17)*(AA576-'Tax Tables'!$A$5:$A$17)*'Tax Tables'!$C$5:$C$17)</f>
        <v>32903.5</v>
      </c>
      <c r="AC576" s="11" t="n">
        <f aca="false">IF(W576&lt;0,-1E+099,P576-T576-AB576+Y576+(T576+U576)*Calculator!$B$9)</f>
        <v>358712.675</v>
      </c>
    </row>
    <row r="577" customFormat="false" ht="15" hidden="false" customHeight="false" outlineLevel="0" collapsed="false">
      <c r="A577" s="11" t="n">
        <f aca="false">564*$B$3</f>
        <v>282000</v>
      </c>
      <c r="B577" s="11" t="n">
        <f aca="false">0</f>
        <v>0</v>
      </c>
      <c r="C577" s="11" t="n">
        <f aca="false">A577-B577</f>
        <v>282000</v>
      </c>
      <c r="D577" s="11" t="n">
        <f aca="false">IF(Calculator!$B$6="Yes",MIN(B577,'Tax Tables'!$B$31*'Tax Tables'!$B$32),0)</f>
        <v>0</v>
      </c>
      <c r="E577" s="11" t="n">
        <f aca="false">D577*Calculator!$B$7</f>
        <v>0</v>
      </c>
      <c r="F577" s="11" t="n">
        <f aca="false">D577*Calculator!$B$8</f>
        <v>0</v>
      </c>
      <c r="G577" s="11" t="n">
        <f aca="false">IF(B577&gt;0,'Tax Tables'!$B$32*MIN(MAX(B577/'Tax Tables'!$B$32*'Tax Tables'!$B$33,'Tax Tables'!$B$34),'Tax Tables'!$B$35),0)</f>
        <v>0</v>
      </c>
      <c r="H577" s="11" t="n">
        <f aca="false">Calculator!$B$5-A577-F577-G577</f>
        <v>118000</v>
      </c>
      <c r="I577" s="11" t="n">
        <f aca="false">'Tax Tables'!$B$22*(MAX(H577,0)-IF(Calculator!$B$10="Yes",MIN(MAX(H577,0),'Tax Tables'!$B$27)*'Tax Tables'!$B$28+MIN(MAX(MAX(H577,0)-'Tax Tables'!$B$27,0),'Tax Tables'!$B$29)*'Tax Tables'!$B$30,MIN(MAX(H577,0),'Tax Tables'!$B$23)*'Tax Tables'!$B$24+MIN(MAX(MAX(H577,0)-'Tax Tables'!$B$23,0),'Tax Tables'!$B$25)*'Tax Tables'!$B$26))*1-MIN('Tax Tables'!$B$22*(MAX(H577,0)-IF(Calculator!$B$10="Yes",MIN(MAX(H577,0),'Tax Tables'!$B$27)*'Tax Tables'!$B$28+MIN(MAX(MAX(H577,0)-'Tax Tables'!$B$27,0),'Tax Tables'!$B$29)*'Tax Tables'!$B$30,MIN(MAX(H577,0),'Tax Tables'!$B$23)*'Tax Tables'!$B$24+MIN(MAX(MAX(H577,0)-'Tax Tables'!$B$23,0),'Tax Tables'!$B$25)*'Tax Tables'!$B$26))*Calculator!$B$11,Calculator!$B$12)</f>
        <v>9605</v>
      </c>
      <c r="J577" s="11" t="n">
        <f aca="false">MAX(H577,0)-I577</f>
        <v>108395</v>
      </c>
      <c r="K577" s="11" t="n">
        <f aca="false">MIN(IF(A577&gt;0,Calculator!$B$13,0)+E577+Calculator!$B$14,'Tax Tables'!$B$36)</f>
        <v>1000</v>
      </c>
      <c r="L577" s="11" t="n">
        <f aca="false">MAX(A577-K577,0)</f>
        <v>281000</v>
      </c>
      <c r="M577" s="11" t="n">
        <f aca="false">SUMPRODUCT((L577&gt;'Tax Tables'!$A$5:$A$17)*(L577-'Tax Tables'!$A$5:$A$17)*'Tax Tables'!$C$5:$C$17)</f>
        <v>36750</v>
      </c>
      <c r="N577" s="11" t="n">
        <f aca="false">IF(H577&lt;0,-1E+099,A577-E577-M577+J577+(E577+F577)*Calculator!$B$9)</f>
        <v>353645</v>
      </c>
      <c r="O577" s="2"/>
      <c r="P577" s="11" t="n">
        <f aca="false">564*$B$3</f>
        <v>282000</v>
      </c>
      <c r="Q577" s="11" t="n">
        <f aca="false">MIN(P577,'Tax Tables'!$B$31*'Tax Tables'!$B$32)</f>
        <v>96000</v>
      </c>
      <c r="R577" s="11" t="n">
        <f aca="false">P577-Q577</f>
        <v>186000</v>
      </c>
      <c r="S577" s="11" t="n">
        <f aca="false">IF(Calculator!$B$6="Yes",MIN(Q577,'Tax Tables'!$B$31*'Tax Tables'!$B$32),0)</f>
        <v>96000</v>
      </c>
      <c r="T577" s="11" t="n">
        <f aca="false">S577*Calculator!$B$7</f>
        <v>19200</v>
      </c>
      <c r="U577" s="11" t="n">
        <f aca="false">S577*Calculator!$B$8</f>
        <v>16320</v>
      </c>
      <c r="V577" s="11" t="n">
        <f aca="false">IF(Q577&gt;0,'Tax Tables'!$B$32*MIN(MAX(Q577/'Tax Tables'!$B$32*'Tax Tables'!$B$33,'Tax Tables'!$B$34),'Tax Tables'!$B$35),0)</f>
        <v>135</v>
      </c>
      <c r="W577" s="11" t="n">
        <f aca="false">Calculator!$B$5-P577-U577-V577</f>
        <v>101545</v>
      </c>
      <c r="X577" s="11" t="n">
        <f aca="false">'Tax Tables'!$B$22*(MAX(W577,0)-IF(Calculator!$B$10="Yes",MIN(MAX(W577,0),'Tax Tables'!$B$27)*'Tax Tables'!$B$28+MIN(MAX(MAX(W577,0)-'Tax Tables'!$B$27,0),'Tax Tables'!$B$29)*'Tax Tables'!$B$30,MIN(MAX(W577,0),'Tax Tables'!$B$23)*'Tax Tables'!$B$24+MIN(MAX(MAX(W577,0)-'Tax Tables'!$B$23,0),'Tax Tables'!$B$25)*'Tax Tables'!$B$26))*1-MIN('Tax Tables'!$B$22*(MAX(W577,0)-IF(Calculator!$B$10="Yes",MIN(MAX(W577,0),'Tax Tables'!$B$27)*'Tax Tables'!$B$28+MIN(MAX(MAX(W577,0)-'Tax Tables'!$B$27,0),'Tax Tables'!$B$29)*'Tax Tables'!$B$30,MIN(MAX(W577,0),'Tax Tables'!$B$23)*'Tax Tables'!$B$24+MIN(MAX(MAX(W577,0)-'Tax Tables'!$B$23,0),'Tax Tables'!$B$25)*'Tax Tables'!$B$26))*Calculator!$B$11,Calculator!$B$12)</f>
        <v>8206.325</v>
      </c>
      <c r="Y577" s="11" t="n">
        <f aca="false">MAX(W577,0)-X577</f>
        <v>93338.675</v>
      </c>
      <c r="Z577" s="11" t="n">
        <f aca="false">MIN(IF(P577&gt;0,Calculator!$B$13,0)+T577+Calculator!$B$14,'Tax Tables'!$B$36)</f>
        <v>20200</v>
      </c>
      <c r="AA577" s="11" t="n">
        <f aca="false">MAX(P577-Z577,0)</f>
        <v>261800</v>
      </c>
      <c r="AB577" s="11" t="n">
        <f aca="false">SUMPRODUCT((AA577&gt;'Tax Tables'!$A$5:$A$17)*(AA577-'Tax Tables'!$A$5:$A$17)*'Tax Tables'!$C$5:$C$17)</f>
        <v>33001</v>
      </c>
      <c r="AC577" s="11" t="n">
        <f aca="false">IF(W577&lt;0,-1E+099,P577-T577-AB577+Y577+(T577+U577)*Calculator!$B$9)</f>
        <v>358657.675</v>
      </c>
    </row>
    <row r="578" customFormat="false" ht="15" hidden="false" customHeight="false" outlineLevel="0" collapsed="false">
      <c r="A578" s="11" t="n">
        <f aca="false">565*$B$3</f>
        <v>282500</v>
      </c>
      <c r="B578" s="11" t="n">
        <f aca="false">0</f>
        <v>0</v>
      </c>
      <c r="C578" s="11" t="n">
        <f aca="false">A578-B578</f>
        <v>282500</v>
      </c>
      <c r="D578" s="11" t="n">
        <f aca="false">IF(Calculator!$B$6="Yes",MIN(B578,'Tax Tables'!$B$31*'Tax Tables'!$B$32),0)</f>
        <v>0</v>
      </c>
      <c r="E578" s="11" t="n">
        <f aca="false">D578*Calculator!$B$7</f>
        <v>0</v>
      </c>
      <c r="F578" s="11" t="n">
        <f aca="false">D578*Calculator!$B$8</f>
        <v>0</v>
      </c>
      <c r="G578" s="11" t="n">
        <f aca="false">IF(B578&gt;0,'Tax Tables'!$B$32*MIN(MAX(B578/'Tax Tables'!$B$32*'Tax Tables'!$B$33,'Tax Tables'!$B$34),'Tax Tables'!$B$35),0)</f>
        <v>0</v>
      </c>
      <c r="H578" s="11" t="n">
        <f aca="false">Calculator!$B$5-A578-F578-G578</f>
        <v>117500</v>
      </c>
      <c r="I578" s="11" t="n">
        <f aca="false">'Tax Tables'!$B$22*(MAX(H578,0)-IF(Calculator!$B$10="Yes",MIN(MAX(H578,0),'Tax Tables'!$B$27)*'Tax Tables'!$B$28+MIN(MAX(MAX(H578,0)-'Tax Tables'!$B$27,0),'Tax Tables'!$B$29)*'Tax Tables'!$B$30,MIN(MAX(H578,0),'Tax Tables'!$B$23)*'Tax Tables'!$B$24+MIN(MAX(MAX(H578,0)-'Tax Tables'!$B$23,0),'Tax Tables'!$B$25)*'Tax Tables'!$B$26))*1-MIN('Tax Tables'!$B$22*(MAX(H578,0)-IF(Calculator!$B$10="Yes",MIN(MAX(H578,0),'Tax Tables'!$B$27)*'Tax Tables'!$B$28+MIN(MAX(MAX(H578,0)-'Tax Tables'!$B$27,0),'Tax Tables'!$B$29)*'Tax Tables'!$B$30,MIN(MAX(H578,0),'Tax Tables'!$B$23)*'Tax Tables'!$B$24+MIN(MAX(MAX(H578,0)-'Tax Tables'!$B$23,0),'Tax Tables'!$B$25)*'Tax Tables'!$B$26))*Calculator!$B$11,Calculator!$B$12)</f>
        <v>9562.5</v>
      </c>
      <c r="J578" s="11" t="n">
        <f aca="false">MAX(H578,0)-I578</f>
        <v>107937.5</v>
      </c>
      <c r="K578" s="11" t="n">
        <f aca="false">MIN(IF(A578&gt;0,Calculator!$B$13,0)+E578+Calculator!$B$14,'Tax Tables'!$B$36)</f>
        <v>1000</v>
      </c>
      <c r="L578" s="11" t="n">
        <f aca="false">MAX(A578-K578,0)</f>
        <v>281500</v>
      </c>
      <c r="M578" s="11" t="n">
        <f aca="false">SUMPRODUCT((L578&gt;'Tax Tables'!$A$5:$A$17)*(L578-'Tax Tables'!$A$5:$A$17)*'Tax Tables'!$C$5:$C$17)</f>
        <v>36850</v>
      </c>
      <c r="N578" s="11" t="n">
        <f aca="false">IF(H578&lt;0,-1E+099,A578-E578-M578+J578+(E578+F578)*Calculator!$B$9)</f>
        <v>353587.5</v>
      </c>
      <c r="O578" s="2"/>
      <c r="P578" s="11" t="n">
        <f aca="false">565*$B$3</f>
        <v>282500</v>
      </c>
      <c r="Q578" s="11" t="n">
        <f aca="false">MIN(P578,'Tax Tables'!$B$31*'Tax Tables'!$B$32)</f>
        <v>96000</v>
      </c>
      <c r="R578" s="11" t="n">
        <f aca="false">P578-Q578</f>
        <v>186500</v>
      </c>
      <c r="S578" s="11" t="n">
        <f aca="false">IF(Calculator!$B$6="Yes",MIN(Q578,'Tax Tables'!$B$31*'Tax Tables'!$B$32),0)</f>
        <v>96000</v>
      </c>
      <c r="T578" s="11" t="n">
        <f aca="false">S578*Calculator!$B$7</f>
        <v>19200</v>
      </c>
      <c r="U578" s="11" t="n">
        <f aca="false">S578*Calculator!$B$8</f>
        <v>16320</v>
      </c>
      <c r="V578" s="11" t="n">
        <f aca="false">IF(Q578&gt;0,'Tax Tables'!$B$32*MIN(MAX(Q578/'Tax Tables'!$B$32*'Tax Tables'!$B$33,'Tax Tables'!$B$34),'Tax Tables'!$B$35),0)</f>
        <v>135</v>
      </c>
      <c r="W578" s="11" t="n">
        <f aca="false">Calculator!$B$5-P578-U578-V578</f>
        <v>101045</v>
      </c>
      <c r="X578" s="11" t="n">
        <f aca="false">'Tax Tables'!$B$22*(MAX(W578,0)-IF(Calculator!$B$10="Yes",MIN(MAX(W578,0),'Tax Tables'!$B$27)*'Tax Tables'!$B$28+MIN(MAX(MAX(W578,0)-'Tax Tables'!$B$27,0),'Tax Tables'!$B$29)*'Tax Tables'!$B$30,MIN(MAX(W578,0),'Tax Tables'!$B$23)*'Tax Tables'!$B$24+MIN(MAX(MAX(W578,0)-'Tax Tables'!$B$23,0),'Tax Tables'!$B$25)*'Tax Tables'!$B$26))*1-MIN('Tax Tables'!$B$22*(MAX(W578,0)-IF(Calculator!$B$10="Yes",MIN(MAX(W578,0),'Tax Tables'!$B$27)*'Tax Tables'!$B$28+MIN(MAX(MAX(W578,0)-'Tax Tables'!$B$27,0),'Tax Tables'!$B$29)*'Tax Tables'!$B$30,MIN(MAX(W578,0),'Tax Tables'!$B$23)*'Tax Tables'!$B$24+MIN(MAX(MAX(W578,0)-'Tax Tables'!$B$23,0),'Tax Tables'!$B$25)*'Tax Tables'!$B$26))*Calculator!$B$11,Calculator!$B$12)</f>
        <v>8163.825</v>
      </c>
      <c r="Y578" s="11" t="n">
        <f aca="false">MAX(W578,0)-X578</f>
        <v>92881.175</v>
      </c>
      <c r="Z578" s="11" t="n">
        <f aca="false">MIN(IF(P578&gt;0,Calculator!$B$13,0)+T578+Calculator!$B$14,'Tax Tables'!$B$36)</f>
        <v>20200</v>
      </c>
      <c r="AA578" s="11" t="n">
        <f aca="false">MAX(P578-Z578,0)</f>
        <v>262300</v>
      </c>
      <c r="AB578" s="11" t="n">
        <f aca="false">SUMPRODUCT((AA578&gt;'Tax Tables'!$A$5:$A$17)*(AA578-'Tax Tables'!$A$5:$A$17)*'Tax Tables'!$C$5:$C$17)</f>
        <v>33098.5</v>
      </c>
      <c r="AC578" s="11" t="n">
        <f aca="false">IF(W578&lt;0,-1E+099,P578-T578-AB578+Y578+(T578+U578)*Calculator!$B$9)</f>
        <v>358602.675</v>
      </c>
    </row>
    <row r="579" customFormat="false" ht="15" hidden="false" customHeight="false" outlineLevel="0" collapsed="false">
      <c r="A579" s="11" t="n">
        <f aca="false">566*$B$3</f>
        <v>283000</v>
      </c>
      <c r="B579" s="11" t="n">
        <f aca="false">0</f>
        <v>0</v>
      </c>
      <c r="C579" s="11" t="n">
        <f aca="false">A579-B579</f>
        <v>283000</v>
      </c>
      <c r="D579" s="11" t="n">
        <f aca="false">IF(Calculator!$B$6="Yes",MIN(B579,'Tax Tables'!$B$31*'Tax Tables'!$B$32),0)</f>
        <v>0</v>
      </c>
      <c r="E579" s="11" t="n">
        <f aca="false">D579*Calculator!$B$7</f>
        <v>0</v>
      </c>
      <c r="F579" s="11" t="n">
        <f aca="false">D579*Calculator!$B$8</f>
        <v>0</v>
      </c>
      <c r="G579" s="11" t="n">
        <f aca="false">IF(B579&gt;0,'Tax Tables'!$B$32*MIN(MAX(B579/'Tax Tables'!$B$32*'Tax Tables'!$B$33,'Tax Tables'!$B$34),'Tax Tables'!$B$35),0)</f>
        <v>0</v>
      </c>
      <c r="H579" s="11" t="n">
        <f aca="false">Calculator!$B$5-A579-F579-G579</f>
        <v>117000</v>
      </c>
      <c r="I579" s="11" t="n">
        <f aca="false">'Tax Tables'!$B$22*(MAX(H579,0)-IF(Calculator!$B$10="Yes",MIN(MAX(H579,0),'Tax Tables'!$B$27)*'Tax Tables'!$B$28+MIN(MAX(MAX(H579,0)-'Tax Tables'!$B$27,0),'Tax Tables'!$B$29)*'Tax Tables'!$B$30,MIN(MAX(H579,0),'Tax Tables'!$B$23)*'Tax Tables'!$B$24+MIN(MAX(MAX(H579,0)-'Tax Tables'!$B$23,0),'Tax Tables'!$B$25)*'Tax Tables'!$B$26))*1-MIN('Tax Tables'!$B$22*(MAX(H579,0)-IF(Calculator!$B$10="Yes",MIN(MAX(H579,0),'Tax Tables'!$B$27)*'Tax Tables'!$B$28+MIN(MAX(MAX(H579,0)-'Tax Tables'!$B$27,0),'Tax Tables'!$B$29)*'Tax Tables'!$B$30,MIN(MAX(H579,0),'Tax Tables'!$B$23)*'Tax Tables'!$B$24+MIN(MAX(MAX(H579,0)-'Tax Tables'!$B$23,0),'Tax Tables'!$B$25)*'Tax Tables'!$B$26))*Calculator!$B$11,Calculator!$B$12)</f>
        <v>9520</v>
      </c>
      <c r="J579" s="11" t="n">
        <f aca="false">MAX(H579,0)-I579</f>
        <v>107480</v>
      </c>
      <c r="K579" s="11" t="n">
        <f aca="false">MIN(IF(A579&gt;0,Calculator!$B$13,0)+E579+Calculator!$B$14,'Tax Tables'!$B$36)</f>
        <v>1000</v>
      </c>
      <c r="L579" s="11" t="n">
        <f aca="false">MAX(A579-K579,0)</f>
        <v>282000</v>
      </c>
      <c r="M579" s="11" t="n">
        <f aca="false">SUMPRODUCT((L579&gt;'Tax Tables'!$A$5:$A$17)*(L579-'Tax Tables'!$A$5:$A$17)*'Tax Tables'!$C$5:$C$17)</f>
        <v>36950</v>
      </c>
      <c r="N579" s="11" t="n">
        <f aca="false">IF(H579&lt;0,-1E+099,A579-E579-M579+J579+(E579+F579)*Calculator!$B$9)</f>
        <v>353530</v>
      </c>
      <c r="O579" s="2"/>
      <c r="P579" s="11" t="n">
        <f aca="false">566*$B$3</f>
        <v>283000</v>
      </c>
      <c r="Q579" s="11" t="n">
        <f aca="false">MIN(P579,'Tax Tables'!$B$31*'Tax Tables'!$B$32)</f>
        <v>96000</v>
      </c>
      <c r="R579" s="11" t="n">
        <f aca="false">P579-Q579</f>
        <v>187000</v>
      </c>
      <c r="S579" s="11" t="n">
        <f aca="false">IF(Calculator!$B$6="Yes",MIN(Q579,'Tax Tables'!$B$31*'Tax Tables'!$B$32),0)</f>
        <v>96000</v>
      </c>
      <c r="T579" s="11" t="n">
        <f aca="false">S579*Calculator!$B$7</f>
        <v>19200</v>
      </c>
      <c r="U579" s="11" t="n">
        <f aca="false">S579*Calculator!$B$8</f>
        <v>16320</v>
      </c>
      <c r="V579" s="11" t="n">
        <f aca="false">IF(Q579&gt;0,'Tax Tables'!$B$32*MIN(MAX(Q579/'Tax Tables'!$B$32*'Tax Tables'!$B$33,'Tax Tables'!$B$34),'Tax Tables'!$B$35),0)</f>
        <v>135</v>
      </c>
      <c r="W579" s="11" t="n">
        <f aca="false">Calculator!$B$5-P579-U579-V579</f>
        <v>100545</v>
      </c>
      <c r="X579" s="11" t="n">
        <f aca="false">'Tax Tables'!$B$22*(MAX(W579,0)-IF(Calculator!$B$10="Yes",MIN(MAX(W579,0),'Tax Tables'!$B$27)*'Tax Tables'!$B$28+MIN(MAX(MAX(W579,0)-'Tax Tables'!$B$27,0),'Tax Tables'!$B$29)*'Tax Tables'!$B$30,MIN(MAX(W579,0),'Tax Tables'!$B$23)*'Tax Tables'!$B$24+MIN(MAX(MAX(W579,0)-'Tax Tables'!$B$23,0),'Tax Tables'!$B$25)*'Tax Tables'!$B$26))*1-MIN('Tax Tables'!$B$22*(MAX(W579,0)-IF(Calculator!$B$10="Yes",MIN(MAX(W579,0),'Tax Tables'!$B$27)*'Tax Tables'!$B$28+MIN(MAX(MAX(W579,0)-'Tax Tables'!$B$27,0),'Tax Tables'!$B$29)*'Tax Tables'!$B$30,MIN(MAX(W579,0),'Tax Tables'!$B$23)*'Tax Tables'!$B$24+MIN(MAX(MAX(W579,0)-'Tax Tables'!$B$23,0),'Tax Tables'!$B$25)*'Tax Tables'!$B$26))*Calculator!$B$11,Calculator!$B$12)</f>
        <v>8121.325</v>
      </c>
      <c r="Y579" s="11" t="n">
        <f aca="false">MAX(W579,0)-X579</f>
        <v>92423.675</v>
      </c>
      <c r="Z579" s="11" t="n">
        <f aca="false">MIN(IF(P579&gt;0,Calculator!$B$13,0)+T579+Calculator!$B$14,'Tax Tables'!$B$36)</f>
        <v>20200</v>
      </c>
      <c r="AA579" s="11" t="n">
        <f aca="false">MAX(P579-Z579,0)</f>
        <v>262800</v>
      </c>
      <c r="AB579" s="11" t="n">
        <f aca="false">SUMPRODUCT((AA579&gt;'Tax Tables'!$A$5:$A$17)*(AA579-'Tax Tables'!$A$5:$A$17)*'Tax Tables'!$C$5:$C$17)</f>
        <v>33196</v>
      </c>
      <c r="AC579" s="11" t="n">
        <f aca="false">IF(W579&lt;0,-1E+099,P579-T579-AB579+Y579+(T579+U579)*Calculator!$B$9)</f>
        <v>358547.675</v>
      </c>
    </row>
    <row r="580" customFormat="false" ht="15" hidden="false" customHeight="false" outlineLevel="0" collapsed="false">
      <c r="A580" s="11" t="n">
        <f aca="false">567*$B$3</f>
        <v>283500</v>
      </c>
      <c r="B580" s="11" t="n">
        <f aca="false">0</f>
        <v>0</v>
      </c>
      <c r="C580" s="11" t="n">
        <f aca="false">A580-B580</f>
        <v>283500</v>
      </c>
      <c r="D580" s="11" t="n">
        <f aca="false">IF(Calculator!$B$6="Yes",MIN(B580,'Tax Tables'!$B$31*'Tax Tables'!$B$32),0)</f>
        <v>0</v>
      </c>
      <c r="E580" s="11" t="n">
        <f aca="false">D580*Calculator!$B$7</f>
        <v>0</v>
      </c>
      <c r="F580" s="11" t="n">
        <f aca="false">D580*Calculator!$B$8</f>
        <v>0</v>
      </c>
      <c r="G580" s="11" t="n">
        <f aca="false">IF(B580&gt;0,'Tax Tables'!$B$32*MIN(MAX(B580/'Tax Tables'!$B$32*'Tax Tables'!$B$33,'Tax Tables'!$B$34),'Tax Tables'!$B$35),0)</f>
        <v>0</v>
      </c>
      <c r="H580" s="11" t="n">
        <f aca="false">Calculator!$B$5-A580-F580-G580</f>
        <v>116500</v>
      </c>
      <c r="I580" s="11" t="n">
        <f aca="false">'Tax Tables'!$B$22*(MAX(H580,0)-IF(Calculator!$B$10="Yes",MIN(MAX(H580,0),'Tax Tables'!$B$27)*'Tax Tables'!$B$28+MIN(MAX(MAX(H580,0)-'Tax Tables'!$B$27,0),'Tax Tables'!$B$29)*'Tax Tables'!$B$30,MIN(MAX(H580,0),'Tax Tables'!$B$23)*'Tax Tables'!$B$24+MIN(MAX(MAX(H580,0)-'Tax Tables'!$B$23,0),'Tax Tables'!$B$25)*'Tax Tables'!$B$26))*1-MIN('Tax Tables'!$B$22*(MAX(H580,0)-IF(Calculator!$B$10="Yes",MIN(MAX(H580,0),'Tax Tables'!$B$27)*'Tax Tables'!$B$28+MIN(MAX(MAX(H580,0)-'Tax Tables'!$B$27,0),'Tax Tables'!$B$29)*'Tax Tables'!$B$30,MIN(MAX(H580,0),'Tax Tables'!$B$23)*'Tax Tables'!$B$24+MIN(MAX(MAX(H580,0)-'Tax Tables'!$B$23,0),'Tax Tables'!$B$25)*'Tax Tables'!$B$26))*Calculator!$B$11,Calculator!$B$12)</f>
        <v>9477.5</v>
      </c>
      <c r="J580" s="11" t="n">
        <f aca="false">MAX(H580,0)-I580</f>
        <v>107022.5</v>
      </c>
      <c r="K580" s="11" t="n">
        <f aca="false">MIN(IF(A580&gt;0,Calculator!$B$13,0)+E580+Calculator!$B$14,'Tax Tables'!$B$36)</f>
        <v>1000</v>
      </c>
      <c r="L580" s="11" t="n">
        <f aca="false">MAX(A580-K580,0)</f>
        <v>282500</v>
      </c>
      <c r="M580" s="11" t="n">
        <f aca="false">SUMPRODUCT((L580&gt;'Tax Tables'!$A$5:$A$17)*(L580-'Tax Tables'!$A$5:$A$17)*'Tax Tables'!$C$5:$C$17)</f>
        <v>37050</v>
      </c>
      <c r="N580" s="11" t="n">
        <f aca="false">IF(H580&lt;0,-1E+099,A580-E580-M580+J580+(E580+F580)*Calculator!$B$9)</f>
        <v>353472.5</v>
      </c>
      <c r="O580" s="2"/>
      <c r="P580" s="11" t="n">
        <f aca="false">567*$B$3</f>
        <v>283500</v>
      </c>
      <c r="Q580" s="11" t="n">
        <f aca="false">MIN(P580,'Tax Tables'!$B$31*'Tax Tables'!$B$32)</f>
        <v>96000</v>
      </c>
      <c r="R580" s="11" t="n">
        <f aca="false">P580-Q580</f>
        <v>187500</v>
      </c>
      <c r="S580" s="11" t="n">
        <f aca="false">IF(Calculator!$B$6="Yes",MIN(Q580,'Tax Tables'!$B$31*'Tax Tables'!$B$32),0)</f>
        <v>96000</v>
      </c>
      <c r="T580" s="11" t="n">
        <f aca="false">S580*Calculator!$B$7</f>
        <v>19200</v>
      </c>
      <c r="U580" s="11" t="n">
        <f aca="false">S580*Calculator!$B$8</f>
        <v>16320</v>
      </c>
      <c r="V580" s="11" t="n">
        <f aca="false">IF(Q580&gt;0,'Tax Tables'!$B$32*MIN(MAX(Q580/'Tax Tables'!$B$32*'Tax Tables'!$B$33,'Tax Tables'!$B$34),'Tax Tables'!$B$35),0)</f>
        <v>135</v>
      </c>
      <c r="W580" s="11" t="n">
        <f aca="false">Calculator!$B$5-P580-U580-V580</f>
        <v>100045</v>
      </c>
      <c r="X580" s="11" t="n">
        <f aca="false">'Tax Tables'!$B$22*(MAX(W580,0)-IF(Calculator!$B$10="Yes",MIN(MAX(W580,0),'Tax Tables'!$B$27)*'Tax Tables'!$B$28+MIN(MAX(MAX(W580,0)-'Tax Tables'!$B$27,0),'Tax Tables'!$B$29)*'Tax Tables'!$B$30,MIN(MAX(W580,0),'Tax Tables'!$B$23)*'Tax Tables'!$B$24+MIN(MAX(MAX(W580,0)-'Tax Tables'!$B$23,0),'Tax Tables'!$B$25)*'Tax Tables'!$B$26))*1-MIN('Tax Tables'!$B$22*(MAX(W580,0)-IF(Calculator!$B$10="Yes",MIN(MAX(W580,0),'Tax Tables'!$B$27)*'Tax Tables'!$B$28+MIN(MAX(MAX(W580,0)-'Tax Tables'!$B$27,0),'Tax Tables'!$B$29)*'Tax Tables'!$B$30,MIN(MAX(W580,0),'Tax Tables'!$B$23)*'Tax Tables'!$B$24+MIN(MAX(MAX(W580,0)-'Tax Tables'!$B$23,0),'Tax Tables'!$B$25)*'Tax Tables'!$B$26))*Calculator!$B$11,Calculator!$B$12)</f>
        <v>8078.825</v>
      </c>
      <c r="Y580" s="11" t="n">
        <f aca="false">MAX(W580,0)-X580</f>
        <v>91966.175</v>
      </c>
      <c r="Z580" s="11" t="n">
        <f aca="false">MIN(IF(P580&gt;0,Calculator!$B$13,0)+T580+Calculator!$B$14,'Tax Tables'!$B$36)</f>
        <v>20200</v>
      </c>
      <c r="AA580" s="11" t="n">
        <f aca="false">MAX(P580-Z580,0)</f>
        <v>263300</v>
      </c>
      <c r="AB580" s="11" t="n">
        <f aca="false">SUMPRODUCT((AA580&gt;'Tax Tables'!$A$5:$A$17)*(AA580-'Tax Tables'!$A$5:$A$17)*'Tax Tables'!$C$5:$C$17)</f>
        <v>33293.5</v>
      </c>
      <c r="AC580" s="11" t="n">
        <f aca="false">IF(W580&lt;0,-1E+099,P580-T580-AB580+Y580+(T580+U580)*Calculator!$B$9)</f>
        <v>358492.675</v>
      </c>
    </row>
    <row r="581" customFormat="false" ht="15" hidden="false" customHeight="false" outlineLevel="0" collapsed="false">
      <c r="A581" s="11" t="n">
        <f aca="false">568*$B$3</f>
        <v>284000</v>
      </c>
      <c r="B581" s="11" t="n">
        <f aca="false">0</f>
        <v>0</v>
      </c>
      <c r="C581" s="11" t="n">
        <f aca="false">A581-B581</f>
        <v>284000</v>
      </c>
      <c r="D581" s="11" t="n">
        <f aca="false">IF(Calculator!$B$6="Yes",MIN(B581,'Tax Tables'!$B$31*'Tax Tables'!$B$32),0)</f>
        <v>0</v>
      </c>
      <c r="E581" s="11" t="n">
        <f aca="false">D581*Calculator!$B$7</f>
        <v>0</v>
      </c>
      <c r="F581" s="11" t="n">
        <f aca="false">D581*Calculator!$B$8</f>
        <v>0</v>
      </c>
      <c r="G581" s="11" t="n">
        <f aca="false">IF(B581&gt;0,'Tax Tables'!$B$32*MIN(MAX(B581/'Tax Tables'!$B$32*'Tax Tables'!$B$33,'Tax Tables'!$B$34),'Tax Tables'!$B$35),0)</f>
        <v>0</v>
      </c>
      <c r="H581" s="11" t="n">
        <f aca="false">Calculator!$B$5-A581-F581-G581</f>
        <v>116000</v>
      </c>
      <c r="I581" s="11" t="n">
        <f aca="false">'Tax Tables'!$B$22*(MAX(H581,0)-IF(Calculator!$B$10="Yes",MIN(MAX(H581,0),'Tax Tables'!$B$27)*'Tax Tables'!$B$28+MIN(MAX(MAX(H581,0)-'Tax Tables'!$B$27,0),'Tax Tables'!$B$29)*'Tax Tables'!$B$30,MIN(MAX(H581,0),'Tax Tables'!$B$23)*'Tax Tables'!$B$24+MIN(MAX(MAX(H581,0)-'Tax Tables'!$B$23,0),'Tax Tables'!$B$25)*'Tax Tables'!$B$26))*1-MIN('Tax Tables'!$B$22*(MAX(H581,0)-IF(Calculator!$B$10="Yes",MIN(MAX(H581,0),'Tax Tables'!$B$27)*'Tax Tables'!$B$28+MIN(MAX(MAX(H581,0)-'Tax Tables'!$B$27,0),'Tax Tables'!$B$29)*'Tax Tables'!$B$30,MIN(MAX(H581,0),'Tax Tables'!$B$23)*'Tax Tables'!$B$24+MIN(MAX(MAX(H581,0)-'Tax Tables'!$B$23,0),'Tax Tables'!$B$25)*'Tax Tables'!$B$26))*Calculator!$B$11,Calculator!$B$12)</f>
        <v>9435</v>
      </c>
      <c r="J581" s="11" t="n">
        <f aca="false">MAX(H581,0)-I581</f>
        <v>106565</v>
      </c>
      <c r="K581" s="11" t="n">
        <f aca="false">MIN(IF(A581&gt;0,Calculator!$B$13,0)+E581+Calculator!$B$14,'Tax Tables'!$B$36)</f>
        <v>1000</v>
      </c>
      <c r="L581" s="11" t="n">
        <f aca="false">MAX(A581-K581,0)</f>
        <v>283000</v>
      </c>
      <c r="M581" s="11" t="n">
        <f aca="false">SUMPRODUCT((L581&gt;'Tax Tables'!$A$5:$A$17)*(L581-'Tax Tables'!$A$5:$A$17)*'Tax Tables'!$C$5:$C$17)</f>
        <v>37150</v>
      </c>
      <c r="N581" s="11" t="n">
        <f aca="false">IF(H581&lt;0,-1E+099,A581-E581-M581+J581+(E581+F581)*Calculator!$B$9)</f>
        <v>353415</v>
      </c>
      <c r="O581" s="2"/>
      <c r="P581" s="11" t="n">
        <f aca="false">568*$B$3</f>
        <v>284000</v>
      </c>
      <c r="Q581" s="11" t="n">
        <f aca="false">MIN(P581,'Tax Tables'!$B$31*'Tax Tables'!$B$32)</f>
        <v>96000</v>
      </c>
      <c r="R581" s="11" t="n">
        <f aca="false">P581-Q581</f>
        <v>188000</v>
      </c>
      <c r="S581" s="11" t="n">
        <f aca="false">IF(Calculator!$B$6="Yes",MIN(Q581,'Tax Tables'!$B$31*'Tax Tables'!$B$32),0)</f>
        <v>96000</v>
      </c>
      <c r="T581" s="11" t="n">
        <f aca="false">S581*Calculator!$B$7</f>
        <v>19200</v>
      </c>
      <c r="U581" s="11" t="n">
        <f aca="false">S581*Calculator!$B$8</f>
        <v>16320</v>
      </c>
      <c r="V581" s="11" t="n">
        <f aca="false">IF(Q581&gt;0,'Tax Tables'!$B$32*MIN(MAX(Q581/'Tax Tables'!$B$32*'Tax Tables'!$B$33,'Tax Tables'!$B$34),'Tax Tables'!$B$35),0)</f>
        <v>135</v>
      </c>
      <c r="W581" s="11" t="n">
        <f aca="false">Calculator!$B$5-P581-U581-V581</f>
        <v>99545</v>
      </c>
      <c r="X581" s="11" t="n">
        <f aca="false">'Tax Tables'!$B$22*(MAX(W581,0)-IF(Calculator!$B$10="Yes",MIN(MAX(W581,0),'Tax Tables'!$B$27)*'Tax Tables'!$B$28+MIN(MAX(MAX(W581,0)-'Tax Tables'!$B$27,0),'Tax Tables'!$B$29)*'Tax Tables'!$B$30,MIN(MAX(W581,0),'Tax Tables'!$B$23)*'Tax Tables'!$B$24+MIN(MAX(MAX(W581,0)-'Tax Tables'!$B$23,0),'Tax Tables'!$B$25)*'Tax Tables'!$B$26))*1-MIN('Tax Tables'!$B$22*(MAX(W581,0)-IF(Calculator!$B$10="Yes",MIN(MAX(W581,0),'Tax Tables'!$B$27)*'Tax Tables'!$B$28+MIN(MAX(MAX(W581,0)-'Tax Tables'!$B$27,0),'Tax Tables'!$B$29)*'Tax Tables'!$B$30,MIN(MAX(W581,0),'Tax Tables'!$B$23)*'Tax Tables'!$B$24+MIN(MAX(MAX(W581,0)-'Tax Tables'!$B$23,0),'Tax Tables'!$B$25)*'Tax Tables'!$B$26))*Calculator!$B$11,Calculator!$B$12)</f>
        <v>8036.325</v>
      </c>
      <c r="Y581" s="11" t="n">
        <f aca="false">MAX(W581,0)-X581</f>
        <v>91508.675</v>
      </c>
      <c r="Z581" s="11" t="n">
        <f aca="false">MIN(IF(P581&gt;0,Calculator!$B$13,0)+T581+Calculator!$B$14,'Tax Tables'!$B$36)</f>
        <v>20200</v>
      </c>
      <c r="AA581" s="11" t="n">
        <f aca="false">MAX(P581-Z581,0)</f>
        <v>263800</v>
      </c>
      <c r="AB581" s="11" t="n">
        <f aca="false">SUMPRODUCT((AA581&gt;'Tax Tables'!$A$5:$A$17)*(AA581-'Tax Tables'!$A$5:$A$17)*'Tax Tables'!$C$5:$C$17)</f>
        <v>33391</v>
      </c>
      <c r="AC581" s="11" t="n">
        <f aca="false">IF(W581&lt;0,-1E+099,P581-T581-AB581+Y581+(T581+U581)*Calculator!$B$9)</f>
        <v>358437.675</v>
      </c>
    </row>
    <row r="582" customFormat="false" ht="15" hidden="false" customHeight="false" outlineLevel="0" collapsed="false">
      <c r="A582" s="11" t="n">
        <f aca="false">569*$B$3</f>
        <v>284500</v>
      </c>
      <c r="B582" s="11" t="n">
        <f aca="false">0</f>
        <v>0</v>
      </c>
      <c r="C582" s="11" t="n">
        <f aca="false">A582-B582</f>
        <v>284500</v>
      </c>
      <c r="D582" s="11" t="n">
        <f aca="false">IF(Calculator!$B$6="Yes",MIN(B582,'Tax Tables'!$B$31*'Tax Tables'!$B$32),0)</f>
        <v>0</v>
      </c>
      <c r="E582" s="11" t="n">
        <f aca="false">D582*Calculator!$B$7</f>
        <v>0</v>
      </c>
      <c r="F582" s="11" t="n">
        <f aca="false">D582*Calculator!$B$8</f>
        <v>0</v>
      </c>
      <c r="G582" s="11" t="n">
        <f aca="false">IF(B582&gt;0,'Tax Tables'!$B$32*MIN(MAX(B582/'Tax Tables'!$B$32*'Tax Tables'!$B$33,'Tax Tables'!$B$34),'Tax Tables'!$B$35),0)</f>
        <v>0</v>
      </c>
      <c r="H582" s="11" t="n">
        <f aca="false">Calculator!$B$5-A582-F582-G582</f>
        <v>115500</v>
      </c>
      <c r="I582" s="11" t="n">
        <f aca="false">'Tax Tables'!$B$22*(MAX(H582,0)-IF(Calculator!$B$10="Yes",MIN(MAX(H582,0),'Tax Tables'!$B$27)*'Tax Tables'!$B$28+MIN(MAX(MAX(H582,0)-'Tax Tables'!$B$27,0),'Tax Tables'!$B$29)*'Tax Tables'!$B$30,MIN(MAX(H582,0),'Tax Tables'!$B$23)*'Tax Tables'!$B$24+MIN(MAX(MAX(H582,0)-'Tax Tables'!$B$23,0),'Tax Tables'!$B$25)*'Tax Tables'!$B$26))*1-MIN('Tax Tables'!$B$22*(MAX(H582,0)-IF(Calculator!$B$10="Yes",MIN(MAX(H582,0),'Tax Tables'!$B$27)*'Tax Tables'!$B$28+MIN(MAX(MAX(H582,0)-'Tax Tables'!$B$27,0),'Tax Tables'!$B$29)*'Tax Tables'!$B$30,MIN(MAX(H582,0),'Tax Tables'!$B$23)*'Tax Tables'!$B$24+MIN(MAX(MAX(H582,0)-'Tax Tables'!$B$23,0),'Tax Tables'!$B$25)*'Tax Tables'!$B$26))*Calculator!$B$11,Calculator!$B$12)</f>
        <v>9392.5</v>
      </c>
      <c r="J582" s="11" t="n">
        <f aca="false">MAX(H582,0)-I582</f>
        <v>106107.5</v>
      </c>
      <c r="K582" s="11" t="n">
        <f aca="false">MIN(IF(A582&gt;0,Calculator!$B$13,0)+E582+Calculator!$B$14,'Tax Tables'!$B$36)</f>
        <v>1000</v>
      </c>
      <c r="L582" s="11" t="n">
        <f aca="false">MAX(A582-K582,0)</f>
        <v>283500</v>
      </c>
      <c r="M582" s="11" t="n">
        <f aca="false">SUMPRODUCT((L582&gt;'Tax Tables'!$A$5:$A$17)*(L582-'Tax Tables'!$A$5:$A$17)*'Tax Tables'!$C$5:$C$17)</f>
        <v>37250</v>
      </c>
      <c r="N582" s="11" t="n">
        <f aca="false">IF(H582&lt;0,-1E+099,A582-E582-M582+J582+(E582+F582)*Calculator!$B$9)</f>
        <v>353357.5</v>
      </c>
      <c r="O582" s="2"/>
      <c r="P582" s="11" t="n">
        <f aca="false">569*$B$3</f>
        <v>284500</v>
      </c>
      <c r="Q582" s="11" t="n">
        <f aca="false">MIN(P582,'Tax Tables'!$B$31*'Tax Tables'!$B$32)</f>
        <v>96000</v>
      </c>
      <c r="R582" s="11" t="n">
        <f aca="false">P582-Q582</f>
        <v>188500</v>
      </c>
      <c r="S582" s="11" t="n">
        <f aca="false">IF(Calculator!$B$6="Yes",MIN(Q582,'Tax Tables'!$B$31*'Tax Tables'!$B$32),0)</f>
        <v>96000</v>
      </c>
      <c r="T582" s="11" t="n">
        <f aca="false">S582*Calculator!$B$7</f>
        <v>19200</v>
      </c>
      <c r="U582" s="11" t="n">
        <f aca="false">S582*Calculator!$B$8</f>
        <v>16320</v>
      </c>
      <c r="V582" s="11" t="n">
        <f aca="false">IF(Q582&gt;0,'Tax Tables'!$B$32*MIN(MAX(Q582/'Tax Tables'!$B$32*'Tax Tables'!$B$33,'Tax Tables'!$B$34),'Tax Tables'!$B$35),0)</f>
        <v>135</v>
      </c>
      <c r="W582" s="11" t="n">
        <f aca="false">Calculator!$B$5-P582-U582-V582</f>
        <v>99045</v>
      </c>
      <c r="X582" s="11" t="n">
        <f aca="false">'Tax Tables'!$B$22*(MAX(W582,0)-IF(Calculator!$B$10="Yes",MIN(MAX(W582,0),'Tax Tables'!$B$27)*'Tax Tables'!$B$28+MIN(MAX(MAX(W582,0)-'Tax Tables'!$B$27,0),'Tax Tables'!$B$29)*'Tax Tables'!$B$30,MIN(MAX(W582,0),'Tax Tables'!$B$23)*'Tax Tables'!$B$24+MIN(MAX(MAX(W582,0)-'Tax Tables'!$B$23,0),'Tax Tables'!$B$25)*'Tax Tables'!$B$26))*1-MIN('Tax Tables'!$B$22*(MAX(W582,0)-IF(Calculator!$B$10="Yes",MIN(MAX(W582,0),'Tax Tables'!$B$27)*'Tax Tables'!$B$28+MIN(MAX(MAX(W582,0)-'Tax Tables'!$B$27,0),'Tax Tables'!$B$29)*'Tax Tables'!$B$30,MIN(MAX(W582,0),'Tax Tables'!$B$23)*'Tax Tables'!$B$24+MIN(MAX(MAX(W582,0)-'Tax Tables'!$B$23,0),'Tax Tables'!$B$25)*'Tax Tables'!$B$26))*Calculator!$B$11,Calculator!$B$12)</f>
        <v>7993.825</v>
      </c>
      <c r="Y582" s="11" t="n">
        <f aca="false">MAX(W582,0)-X582</f>
        <v>91051.175</v>
      </c>
      <c r="Z582" s="11" t="n">
        <f aca="false">MIN(IF(P582&gt;0,Calculator!$B$13,0)+T582+Calculator!$B$14,'Tax Tables'!$B$36)</f>
        <v>20200</v>
      </c>
      <c r="AA582" s="11" t="n">
        <f aca="false">MAX(P582-Z582,0)</f>
        <v>264300</v>
      </c>
      <c r="AB582" s="11" t="n">
        <f aca="false">SUMPRODUCT((AA582&gt;'Tax Tables'!$A$5:$A$17)*(AA582-'Tax Tables'!$A$5:$A$17)*'Tax Tables'!$C$5:$C$17)</f>
        <v>33488.5</v>
      </c>
      <c r="AC582" s="11" t="n">
        <f aca="false">IF(W582&lt;0,-1E+099,P582-T582-AB582+Y582+(T582+U582)*Calculator!$B$9)</f>
        <v>358382.675</v>
      </c>
    </row>
    <row r="583" customFormat="false" ht="15" hidden="false" customHeight="false" outlineLevel="0" collapsed="false">
      <c r="A583" s="11" t="n">
        <f aca="false">570*$B$3</f>
        <v>285000</v>
      </c>
      <c r="B583" s="11" t="n">
        <f aca="false">0</f>
        <v>0</v>
      </c>
      <c r="C583" s="11" t="n">
        <f aca="false">A583-B583</f>
        <v>285000</v>
      </c>
      <c r="D583" s="11" t="n">
        <f aca="false">IF(Calculator!$B$6="Yes",MIN(B583,'Tax Tables'!$B$31*'Tax Tables'!$B$32),0)</f>
        <v>0</v>
      </c>
      <c r="E583" s="11" t="n">
        <f aca="false">D583*Calculator!$B$7</f>
        <v>0</v>
      </c>
      <c r="F583" s="11" t="n">
        <f aca="false">D583*Calculator!$B$8</f>
        <v>0</v>
      </c>
      <c r="G583" s="11" t="n">
        <f aca="false">IF(B583&gt;0,'Tax Tables'!$B$32*MIN(MAX(B583/'Tax Tables'!$B$32*'Tax Tables'!$B$33,'Tax Tables'!$B$34),'Tax Tables'!$B$35),0)</f>
        <v>0</v>
      </c>
      <c r="H583" s="11" t="n">
        <f aca="false">Calculator!$B$5-A583-F583-G583</f>
        <v>115000</v>
      </c>
      <c r="I583" s="11" t="n">
        <f aca="false">'Tax Tables'!$B$22*(MAX(H583,0)-IF(Calculator!$B$10="Yes",MIN(MAX(H583,0),'Tax Tables'!$B$27)*'Tax Tables'!$B$28+MIN(MAX(MAX(H583,0)-'Tax Tables'!$B$27,0),'Tax Tables'!$B$29)*'Tax Tables'!$B$30,MIN(MAX(H583,0),'Tax Tables'!$B$23)*'Tax Tables'!$B$24+MIN(MAX(MAX(H583,0)-'Tax Tables'!$B$23,0),'Tax Tables'!$B$25)*'Tax Tables'!$B$26))*1-MIN('Tax Tables'!$B$22*(MAX(H583,0)-IF(Calculator!$B$10="Yes",MIN(MAX(H583,0),'Tax Tables'!$B$27)*'Tax Tables'!$B$28+MIN(MAX(MAX(H583,0)-'Tax Tables'!$B$27,0),'Tax Tables'!$B$29)*'Tax Tables'!$B$30,MIN(MAX(H583,0),'Tax Tables'!$B$23)*'Tax Tables'!$B$24+MIN(MAX(MAX(H583,0)-'Tax Tables'!$B$23,0),'Tax Tables'!$B$25)*'Tax Tables'!$B$26))*Calculator!$B$11,Calculator!$B$12)</f>
        <v>9350</v>
      </c>
      <c r="J583" s="11" t="n">
        <f aca="false">MAX(H583,0)-I583</f>
        <v>105650</v>
      </c>
      <c r="K583" s="11" t="n">
        <f aca="false">MIN(IF(A583&gt;0,Calculator!$B$13,0)+E583+Calculator!$B$14,'Tax Tables'!$B$36)</f>
        <v>1000</v>
      </c>
      <c r="L583" s="11" t="n">
        <f aca="false">MAX(A583-K583,0)</f>
        <v>284000</v>
      </c>
      <c r="M583" s="11" t="n">
        <f aca="false">SUMPRODUCT((L583&gt;'Tax Tables'!$A$5:$A$17)*(L583-'Tax Tables'!$A$5:$A$17)*'Tax Tables'!$C$5:$C$17)</f>
        <v>37350</v>
      </c>
      <c r="N583" s="11" t="n">
        <f aca="false">IF(H583&lt;0,-1E+099,A583-E583-M583+J583+(E583+F583)*Calculator!$B$9)</f>
        <v>353300</v>
      </c>
      <c r="O583" s="2"/>
      <c r="P583" s="11" t="n">
        <f aca="false">570*$B$3</f>
        <v>285000</v>
      </c>
      <c r="Q583" s="11" t="n">
        <f aca="false">MIN(P583,'Tax Tables'!$B$31*'Tax Tables'!$B$32)</f>
        <v>96000</v>
      </c>
      <c r="R583" s="11" t="n">
        <f aca="false">P583-Q583</f>
        <v>189000</v>
      </c>
      <c r="S583" s="11" t="n">
        <f aca="false">IF(Calculator!$B$6="Yes",MIN(Q583,'Tax Tables'!$B$31*'Tax Tables'!$B$32),0)</f>
        <v>96000</v>
      </c>
      <c r="T583" s="11" t="n">
        <f aca="false">S583*Calculator!$B$7</f>
        <v>19200</v>
      </c>
      <c r="U583" s="11" t="n">
        <f aca="false">S583*Calculator!$B$8</f>
        <v>16320</v>
      </c>
      <c r="V583" s="11" t="n">
        <f aca="false">IF(Q583&gt;0,'Tax Tables'!$B$32*MIN(MAX(Q583/'Tax Tables'!$B$32*'Tax Tables'!$B$33,'Tax Tables'!$B$34),'Tax Tables'!$B$35),0)</f>
        <v>135</v>
      </c>
      <c r="W583" s="11" t="n">
        <f aca="false">Calculator!$B$5-P583-U583-V583</f>
        <v>98545</v>
      </c>
      <c r="X583" s="11" t="n">
        <f aca="false">'Tax Tables'!$B$22*(MAX(W583,0)-IF(Calculator!$B$10="Yes",MIN(MAX(W583,0),'Tax Tables'!$B$27)*'Tax Tables'!$B$28+MIN(MAX(MAX(W583,0)-'Tax Tables'!$B$27,0),'Tax Tables'!$B$29)*'Tax Tables'!$B$30,MIN(MAX(W583,0),'Tax Tables'!$B$23)*'Tax Tables'!$B$24+MIN(MAX(MAX(W583,0)-'Tax Tables'!$B$23,0),'Tax Tables'!$B$25)*'Tax Tables'!$B$26))*1-MIN('Tax Tables'!$B$22*(MAX(W583,0)-IF(Calculator!$B$10="Yes",MIN(MAX(W583,0),'Tax Tables'!$B$27)*'Tax Tables'!$B$28+MIN(MAX(MAX(W583,0)-'Tax Tables'!$B$27,0),'Tax Tables'!$B$29)*'Tax Tables'!$B$30,MIN(MAX(W583,0),'Tax Tables'!$B$23)*'Tax Tables'!$B$24+MIN(MAX(MAX(W583,0)-'Tax Tables'!$B$23,0),'Tax Tables'!$B$25)*'Tax Tables'!$B$26))*Calculator!$B$11,Calculator!$B$12)</f>
        <v>7951.325</v>
      </c>
      <c r="Y583" s="11" t="n">
        <f aca="false">MAX(W583,0)-X583</f>
        <v>90593.675</v>
      </c>
      <c r="Z583" s="11" t="n">
        <f aca="false">MIN(IF(P583&gt;0,Calculator!$B$13,0)+T583+Calculator!$B$14,'Tax Tables'!$B$36)</f>
        <v>20200</v>
      </c>
      <c r="AA583" s="11" t="n">
        <f aca="false">MAX(P583-Z583,0)</f>
        <v>264800</v>
      </c>
      <c r="AB583" s="11" t="n">
        <f aca="false">SUMPRODUCT((AA583&gt;'Tax Tables'!$A$5:$A$17)*(AA583-'Tax Tables'!$A$5:$A$17)*'Tax Tables'!$C$5:$C$17)</f>
        <v>33586</v>
      </c>
      <c r="AC583" s="11" t="n">
        <f aca="false">IF(W583&lt;0,-1E+099,P583-T583-AB583+Y583+(T583+U583)*Calculator!$B$9)</f>
        <v>358327.675</v>
      </c>
    </row>
    <row r="584" customFormat="false" ht="15" hidden="false" customHeight="false" outlineLevel="0" collapsed="false">
      <c r="A584" s="11" t="n">
        <f aca="false">571*$B$3</f>
        <v>285500</v>
      </c>
      <c r="B584" s="11" t="n">
        <f aca="false">0</f>
        <v>0</v>
      </c>
      <c r="C584" s="11" t="n">
        <f aca="false">A584-B584</f>
        <v>285500</v>
      </c>
      <c r="D584" s="11" t="n">
        <f aca="false">IF(Calculator!$B$6="Yes",MIN(B584,'Tax Tables'!$B$31*'Tax Tables'!$B$32),0)</f>
        <v>0</v>
      </c>
      <c r="E584" s="11" t="n">
        <f aca="false">D584*Calculator!$B$7</f>
        <v>0</v>
      </c>
      <c r="F584" s="11" t="n">
        <f aca="false">D584*Calculator!$B$8</f>
        <v>0</v>
      </c>
      <c r="G584" s="11" t="n">
        <f aca="false">IF(B584&gt;0,'Tax Tables'!$B$32*MIN(MAX(B584/'Tax Tables'!$B$32*'Tax Tables'!$B$33,'Tax Tables'!$B$34),'Tax Tables'!$B$35),0)</f>
        <v>0</v>
      </c>
      <c r="H584" s="11" t="n">
        <f aca="false">Calculator!$B$5-A584-F584-G584</f>
        <v>114500</v>
      </c>
      <c r="I584" s="11" t="n">
        <f aca="false">'Tax Tables'!$B$22*(MAX(H584,0)-IF(Calculator!$B$10="Yes",MIN(MAX(H584,0),'Tax Tables'!$B$27)*'Tax Tables'!$B$28+MIN(MAX(MAX(H584,0)-'Tax Tables'!$B$27,0),'Tax Tables'!$B$29)*'Tax Tables'!$B$30,MIN(MAX(H584,0),'Tax Tables'!$B$23)*'Tax Tables'!$B$24+MIN(MAX(MAX(H584,0)-'Tax Tables'!$B$23,0),'Tax Tables'!$B$25)*'Tax Tables'!$B$26))*1-MIN('Tax Tables'!$B$22*(MAX(H584,0)-IF(Calculator!$B$10="Yes",MIN(MAX(H584,0),'Tax Tables'!$B$27)*'Tax Tables'!$B$28+MIN(MAX(MAX(H584,0)-'Tax Tables'!$B$27,0),'Tax Tables'!$B$29)*'Tax Tables'!$B$30,MIN(MAX(H584,0),'Tax Tables'!$B$23)*'Tax Tables'!$B$24+MIN(MAX(MAX(H584,0)-'Tax Tables'!$B$23,0),'Tax Tables'!$B$25)*'Tax Tables'!$B$26))*Calculator!$B$11,Calculator!$B$12)</f>
        <v>9307.5</v>
      </c>
      <c r="J584" s="11" t="n">
        <f aca="false">MAX(H584,0)-I584</f>
        <v>105192.5</v>
      </c>
      <c r="K584" s="11" t="n">
        <f aca="false">MIN(IF(A584&gt;0,Calculator!$B$13,0)+E584+Calculator!$B$14,'Tax Tables'!$B$36)</f>
        <v>1000</v>
      </c>
      <c r="L584" s="11" t="n">
        <f aca="false">MAX(A584-K584,0)</f>
        <v>284500</v>
      </c>
      <c r="M584" s="11" t="n">
        <f aca="false">SUMPRODUCT((L584&gt;'Tax Tables'!$A$5:$A$17)*(L584-'Tax Tables'!$A$5:$A$17)*'Tax Tables'!$C$5:$C$17)</f>
        <v>37450</v>
      </c>
      <c r="N584" s="11" t="n">
        <f aca="false">IF(H584&lt;0,-1E+099,A584-E584-M584+J584+(E584+F584)*Calculator!$B$9)</f>
        <v>353242.5</v>
      </c>
      <c r="O584" s="2"/>
      <c r="P584" s="11" t="n">
        <f aca="false">571*$B$3</f>
        <v>285500</v>
      </c>
      <c r="Q584" s="11" t="n">
        <f aca="false">MIN(P584,'Tax Tables'!$B$31*'Tax Tables'!$B$32)</f>
        <v>96000</v>
      </c>
      <c r="R584" s="11" t="n">
        <f aca="false">P584-Q584</f>
        <v>189500</v>
      </c>
      <c r="S584" s="11" t="n">
        <f aca="false">IF(Calculator!$B$6="Yes",MIN(Q584,'Tax Tables'!$B$31*'Tax Tables'!$B$32),0)</f>
        <v>96000</v>
      </c>
      <c r="T584" s="11" t="n">
        <f aca="false">S584*Calculator!$B$7</f>
        <v>19200</v>
      </c>
      <c r="U584" s="11" t="n">
        <f aca="false">S584*Calculator!$B$8</f>
        <v>16320</v>
      </c>
      <c r="V584" s="11" t="n">
        <f aca="false">IF(Q584&gt;0,'Tax Tables'!$B$32*MIN(MAX(Q584/'Tax Tables'!$B$32*'Tax Tables'!$B$33,'Tax Tables'!$B$34),'Tax Tables'!$B$35),0)</f>
        <v>135</v>
      </c>
      <c r="W584" s="11" t="n">
        <f aca="false">Calculator!$B$5-P584-U584-V584</f>
        <v>98045</v>
      </c>
      <c r="X584" s="11" t="n">
        <f aca="false">'Tax Tables'!$B$22*(MAX(W584,0)-IF(Calculator!$B$10="Yes",MIN(MAX(W584,0),'Tax Tables'!$B$27)*'Tax Tables'!$B$28+MIN(MAX(MAX(W584,0)-'Tax Tables'!$B$27,0),'Tax Tables'!$B$29)*'Tax Tables'!$B$30,MIN(MAX(W584,0),'Tax Tables'!$B$23)*'Tax Tables'!$B$24+MIN(MAX(MAX(W584,0)-'Tax Tables'!$B$23,0),'Tax Tables'!$B$25)*'Tax Tables'!$B$26))*1-MIN('Tax Tables'!$B$22*(MAX(W584,0)-IF(Calculator!$B$10="Yes",MIN(MAX(W584,0),'Tax Tables'!$B$27)*'Tax Tables'!$B$28+MIN(MAX(MAX(W584,0)-'Tax Tables'!$B$27,0),'Tax Tables'!$B$29)*'Tax Tables'!$B$30,MIN(MAX(W584,0),'Tax Tables'!$B$23)*'Tax Tables'!$B$24+MIN(MAX(MAX(W584,0)-'Tax Tables'!$B$23,0),'Tax Tables'!$B$25)*'Tax Tables'!$B$26))*Calculator!$B$11,Calculator!$B$12)</f>
        <v>7908.825</v>
      </c>
      <c r="Y584" s="11" t="n">
        <f aca="false">MAX(W584,0)-X584</f>
        <v>90136.175</v>
      </c>
      <c r="Z584" s="11" t="n">
        <f aca="false">MIN(IF(P584&gt;0,Calculator!$B$13,0)+T584+Calculator!$B$14,'Tax Tables'!$B$36)</f>
        <v>20200</v>
      </c>
      <c r="AA584" s="11" t="n">
        <f aca="false">MAX(P584-Z584,0)</f>
        <v>265300</v>
      </c>
      <c r="AB584" s="11" t="n">
        <f aca="false">SUMPRODUCT((AA584&gt;'Tax Tables'!$A$5:$A$17)*(AA584-'Tax Tables'!$A$5:$A$17)*'Tax Tables'!$C$5:$C$17)</f>
        <v>33683.5</v>
      </c>
      <c r="AC584" s="11" t="n">
        <f aca="false">IF(W584&lt;0,-1E+099,P584-T584-AB584+Y584+(T584+U584)*Calculator!$B$9)</f>
        <v>358272.675</v>
      </c>
    </row>
    <row r="585" customFormat="false" ht="15" hidden="false" customHeight="false" outlineLevel="0" collapsed="false">
      <c r="A585" s="11" t="n">
        <f aca="false">572*$B$3</f>
        <v>286000</v>
      </c>
      <c r="B585" s="11" t="n">
        <f aca="false">0</f>
        <v>0</v>
      </c>
      <c r="C585" s="11" t="n">
        <f aca="false">A585-B585</f>
        <v>286000</v>
      </c>
      <c r="D585" s="11" t="n">
        <f aca="false">IF(Calculator!$B$6="Yes",MIN(B585,'Tax Tables'!$B$31*'Tax Tables'!$B$32),0)</f>
        <v>0</v>
      </c>
      <c r="E585" s="11" t="n">
        <f aca="false">D585*Calculator!$B$7</f>
        <v>0</v>
      </c>
      <c r="F585" s="11" t="n">
        <f aca="false">D585*Calculator!$B$8</f>
        <v>0</v>
      </c>
      <c r="G585" s="11" t="n">
        <f aca="false">IF(B585&gt;0,'Tax Tables'!$B$32*MIN(MAX(B585/'Tax Tables'!$B$32*'Tax Tables'!$B$33,'Tax Tables'!$B$34),'Tax Tables'!$B$35),0)</f>
        <v>0</v>
      </c>
      <c r="H585" s="11" t="n">
        <f aca="false">Calculator!$B$5-A585-F585-G585</f>
        <v>114000</v>
      </c>
      <c r="I585" s="11" t="n">
        <f aca="false">'Tax Tables'!$B$22*(MAX(H585,0)-IF(Calculator!$B$10="Yes",MIN(MAX(H585,0),'Tax Tables'!$B$27)*'Tax Tables'!$B$28+MIN(MAX(MAX(H585,0)-'Tax Tables'!$B$27,0),'Tax Tables'!$B$29)*'Tax Tables'!$B$30,MIN(MAX(H585,0),'Tax Tables'!$B$23)*'Tax Tables'!$B$24+MIN(MAX(MAX(H585,0)-'Tax Tables'!$B$23,0),'Tax Tables'!$B$25)*'Tax Tables'!$B$26))*1-MIN('Tax Tables'!$B$22*(MAX(H585,0)-IF(Calculator!$B$10="Yes",MIN(MAX(H585,0),'Tax Tables'!$B$27)*'Tax Tables'!$B$28+MIN(MAX(MAX(H585,0)-'Tax Tables'!$B$27,0),'Tax Tables'!$B$29)*'Tax Tables'!$B$30,MIN(MAX(H585,0),'Tax Tables'!$B$23)*'Tax Tables'!$B$24+MIN(MAX(MAX(H585,0)-'Tax Tables'!$B$23,0),'Tax Tables'!$B$25)*'Tax Tables'!$B$26))*Calculator!$B$11,Calculator!$B$12)</f>
        <v>9265</v>
      </c>
      <c r="J585" s="11" t="n">
        <f aca="false">MAX(H585,0)-I585</f>
        <v>104735</v>
      </c>
      <c r="K585" s="11" t="n">
        <f aca="false">MIN(IF(A585&gt;0,Calculator!$B$13,0)+E585+Calculator!$B$14,'Tax Tables'!$B$36)</f>
        <v>1000</v>
      </c>
      <c r="L585" s="11" t="n">
        <f aca="false">MAX(A585-K585,0)</f>
        <v>285000</v>
      </c>
      <c r="M585" s="11" t="n">
        <f aca="false">SUMPRODUCT((L585&gt;'Tax Tables'!$A$5:$A$17)*(L585-'Tax Tables'!$A$5:$A$17)*'Tax Tables'!$C$5:$C$17)</f>
        <v>37550</v>
      </c>
      <c r="N585" s="11" t="n">
        <f aca="false">IF(H585&lt;0,-1E+099,A585-E585-M585+J585+(E585+F585)*Calculator!$B$9)</f>
        <v>353185</v>
      </c>
      <c r="O585" s="2"/>
      <c r="P585" s="11" t="n">
        <f aca="false">572*$B$3</f>
        <v>286000</v>
      </c>
      <c r="Q585" s="11" t="n">
        <f aca="false">MIN(P585,'Tax Tables'!$B$31*'Tax Tables'!$B$32)</f>
        <v>96000</v>
      </c>
      <c r="R585" s="11" t="n">
        <f aca="false">P585-Q585</f>
        <v>190000</v>
      </c>
      <c r="S585" s="11" t="n">
        <f aca="false">IF(Calculator!$B$6="Yes",MIN(Q585,'Tax Tables'!$B$31*'Tax Tables'!$B$32),0)</f>
        <v>96000</v>
      </c>
      <c r="T585" s="11" t="n">
        <f aca="false">S585*Calculator!$B$7</f>
        <v>19200</v>
      </c>
      <c r="U585" s="11" t="n">
        <f aca="false">S585*Calculator!$B$8</f>
        <v>16320</v>
      </c>
      <c r="V585" s="11" t="n">
        <f aca="false">IF(Q585&gt;0,'Tax Tables'!$B$32*MIN(MAX(Q585/'Tax Tables'!$B$32*'Tax Tables'!$B$33,'Tax Tables'!$B$34),'Tax Tables'!$B$35),0)</f>
        <v>135</v>
      </c>
      <c r="W585" s="11" t="n">
        <f aca="false">Calculator!$B$5-P585-U585-V585</f>
        <v>97545</v>
      </c>
      <c r="X585" s="11" t="n">
        <f aca="false">'Tax Tables'!$B$22*(MAX(W585,0)-IF(Calculator!$B$10="Yes",MIN(MAX(W585,0),'Tax Tables'!$B$27)*'Tax Tables'!$B$28+MIN(MAX(MAX(W585,0)-'Tax Tables'!$B$27,0),'Tax Tables'!$B$29)*'Tax Tables'!$B$30,MIN(MAX(W585,0),'Tax Tables'!$B$23)*'Tax Tables'!$B$24+MIN(MAX(MAX(W585,0)-'Tax Tables'!$B$23,0),'Tax Tables'!$B$25)*'Tax Tables'!$B$26))*1-MIN('Tax Tables'!$B$22*(MAX(W585,0)-IF(Calculator!$B$10="Yes",MIN(MAX(W585,0),'Tax Tables'!$B$27)*'Tax Tables'!$B$28+MIN(MAX(MAX(W585,0)-'Tax Tables'!$B$27,0),'Tax Tables'!$B$29)*'Tax Tables'!$B$30,MIN(MAX(W585,0),'Tax Tables'!$B$23)*'Tax Tables'!$B$24+MIN(MAX(MAX(W585,0)-'Tax Tables'!$B$23,0),'Tax Tables'!$B$25)*'Tax Tables'!$B$26))*Calculator!$B$11,Calculator!$B$12)</f>
        <v>7866.325</v>
      </c>
      <c r="Y585" s="11" t="n">
        <f aca="false">MAX(W585,0)-X585</f>
        <v>89678.675</v>
      </c>
      <c r="Z585" s="11" t="n">
        <f aca="false">MIN(IF(P585&gt;0,Calculator!$B$13,0)+T585+Calculator!$B$14,'Tax Tables'!$B$36)</f>
        <v>20200</v>
      </c>
      <c r="AA585" s="11" t="n">
        <f aca="false">MAX(P585-Z585,0)</f>
        <v>265800</v>
      </c>
      <c r="AB585" s="11" t="n">
        <f aca="false">SUMPRODUCT((AA585&gt;'Tax Tables'!$A$5:$A$17)*(AA585-'Tax Tables'!$A$5:$A$17)*'Tax Tables'!$C$5:$C$17)</f>
        <v>33781</v>
      </c>
      <c r="AC585" s="11" t="n">
        <f aca="false">IF(W585&lt;0,-1E+099,P585-T585-AB585+Y585+(T585+U585)*Calculator!$B$9)</f>
        <v>358217.675</v>
      </c>
    </row>
    <row r="586" customFormat="false" ht="15" hidden="false" customHeight="false" outlineLevel="0" collapsed="false">
      <c r="A586" s="11" t="n">
        <f aca="false">573*$B$3</f>
        <v>286500</v>
      </c>
      <c r="B586" s="11" t="n">
        <f aca="false">0</f>
        <v>0</v>
      </c>
      <c r="C586" s="11" t="n">
        <f aca="false">A586-B586</f>
        <v>286500</v>
      </c>
      <c r="D586" s="11" t="n">
        <f aca="false">IF(Calculator!$B$6="Yes",MIN(B586,'Tax Tables'!$B$31*'Tax Tables'!$B$32),0)</f>
        <v>0</v>
      </c>
      <c r="E586" s="11" t="n">
        <f aca="false">D586*Calculator!$B$7</f>
        <v>0</v>
      </c>
      <c r="F586" s="11" t="n">
        <f aca="false">D586*Calculator!$B$8</f>
        <v>0</v>
      </c>
      <c r="G586" s="11" t="n">
        <f aca="false">IF(B586&gt;0,'Tax Tables'!$B$32*MIN(MAX(B586/'Tax Tables'!$B$32*'Tax Tables'!$B$33,'Tax Tables'!$B$34),'Tax Tables'!$B$35),0)</f>
        <v>0</v>
      </c>
      <c r="H586" s="11" t="n">
        <f aca="false">Calculator!$B$5-A586-F586-G586</f>
        <v>113500</v>
      </c>
      <c r="I586" s="11" t="n">
        <f aca="false">'Tax Tables'!$B$22*(MAX(H586,0)-IF(Calculator!$B$10="Yes",MIN(MAX(H586,0),'Tax Tables'!$B$27)*'Tax Tables'!$B$28+MIN(MAX(MAX(H586,0)-'Tax Tables'!$B$27,0),'Tax Tables'!$B$29)*'Tax Tables'!$B$30,MIN(MAX(H586,0),'Tax Tables'!$B$23)*'Tax Tables'!$B$24+MIN(MAX(MAX(H586,0)-'Tax Tables'!$B$23,0),'Tax Tables'!$B$25)*'Tax Tables'!$B$26))*1-MIN('Tax Tables'!$B$22*(MAX(H586,0)-IF(Calculator!$B$10="Yes",MIN(MAX(H586,0),'Tax Tables'!$B$27)*'Tax Tables'!$B$28+MIN(MAX(MAX(H586,0)-'Tax Tables'!$B$27,0),'Tax Tables'!$B$29)*'Tax Tables'!$B$30,MIN(MAX(H586,0),'Tax Tables'!$B$23)*'Tax Tables'!$B$24+MIN(MAX(MAX(H586,0)-'Tax Tables'!$B$23,0),'Tax Tables'!$B$25)*'Tax Tables'!$B$26))*Calculator!$B$11,Calculator!$B$12)</f>
        <v>9222.5</v>
      </c>
      <c r="J586" s="11" t="n">
        <f aca="false">MAX(H586,0)-I586</f>
        <v>104277.5</v>
      </c>
      <c r="K586" s="11" t="n">
        <f aca="false">MIN(IF(A586&gt;0,Calculator!$B$13,0)+E586+Calculator!$B$14,'Tax Tables'!$B$36)</f>
        <v>1000</v>
      </c>
      <c r="L586" s="11" t="n">
        <f aca="false">MAX(A586-K586,0)</f>
        <v>285500</v>
      </c>
      <c r="M586" s="11" t="n">
        <f aca="false">SUMPRODUCT((L586&gt;'Tax Tables'!$A$5:$A$17)*(L586-'Tax Tables'!$A$5:$A$17)*'Tax Tables'!$C$5:$C$17)</f>
        <v>37650</v>
      </c>
      <c r="N586" s="11" t="n">
        <f aca="false">IF(H586&lt;0,-1E+099,A586-E586-M586+J586+(E586+F586)*Calculator!$B$9)</f>
        <v>353127.5</v>
      </c>
      <c r="O586" s="2"/>
      <c r="P586" s="11" t="n">
        <f aca="false">573*$B$3</f>
        <v>286500</v>
      </c>
      <c r="Q586" s="11" t="n">
        <f aca="false">MIN(P586,'Tax Tables'!$B$31*'Tax Tables'!$B$32)</f>
        <v>96000</v>
      </c>
      <c r="R586" s="11" t="n">
        <f aca="false">P586-Q586</f>
        <v>190500</v>
      </c>
      <c r="S586" s="11" t="n">
        <f aca="false">IF(Calculator!$B$6="Yes",MIN(Q586,'Tax Tables'!$B$31*'Tax Tables'!$B$32),0)</f>
        <v>96000</v>
      </c>
      <c r="T586" s="11" t="n">
        <f aca="false">S586*Calculator!$B$7</f>
        <v>19200</v>
      </c>
      <c r="U586" s="11" t="n">
        <f aca="false">S586*Calculator!$B$8</f>
        <v>16320</v>
      </c>
      <c r="V586" s="11" t="n">
        <f aca="false">IF(Q586&gt;0,'Tax Tables'!$B$32*MIN(MAX(Q586/'Tax Tables'!$B$32*'Tax Tables'!$B$33,'Tax Tables'!$B$34),'Tax Tables'!$B$35),0)</f>
        <v>135</v>
      </c>
      <c r="W586" s="11" t="n">
        <f aca="false">Calculator!$B$5-P586-U586-V586</f>
        <v>97045</v>
      </c>
      <c r="X586" s="11" t="n">
        <f aca="false">'Tax Tables'!$B$22*(MAX(W586,0)-IF(Calculator!$B$10="Yes",MIN(MAX(W586,0),'Tax Tables'!$B$27)*'Tax Tables'!$B$28+MIN(MAX(MAX(W586,0)-'Tax Tables'!$B$27,0),'Tax Tables'!$B$29)*'Tax Tables'!$B$30,MIN(MAX(W586,0),'Tax Tables'!$B$23)*'Tax Tables'!$B$24+MIN(MAX(MAX(W586,0)-'Tax Tables'!$B$23,0),'Tax Tables'!$B$25)*'Tax Tables'!$B$26))*1-MIN('Tax Tables'!$B$22*(MAX(W586,0)-IF(Calculator!$B$10="Yes",MIN(MAX(W586,0),'Tax Tables'!$B$27)*'Tax Tables'!$B$28+MIN(MAX(MAX(W586,0)-'Tax Tables'!$B$27,0),'Tax Tables'!$B$29)*'Tax Tables'!$B$30,MIN(MAX(W586,0),'Tax Tables'!$B$23)*'Tax Tables'!$B$24+MIN(MAX(MAX(W586,0)-'Tax Tables'!$B$23,0),'Tax Tables'!$B$25)*'Tax Tables'!$B$26))*Calculator!$B$11,Calculator!$B$12)</f>
        <v>7823.825</v>
      </c>
      <c r="Y586" s="11" t="n">
        <f aca="false">MAX(W586,0)-X586</f>
        <v>89221.175</v>
      </c>
      <c r="Z586" s="11" t="n">
        <f aca="false">MIN(IF(P586&gt;0,Calculator!$B$13,0)+T586+Calculator!$B$14,'Tax Tables'!$B$36)</f>
        <v>20200</v>
      </c>
      <c r="AA586" s="11" t="n">
        <f aca="false">MAX(P586-Z586,0)</f>
        <v>266300</v>
      </c>
      <c r="AB586" s="11" t="n">
        <f aca="false">SUMPRODUCT((AA586&gt;'Tax Tables'!$A$5:$A$17)*(AA586-'Tax Tables'!$A$5:$A$17)*'Tax Tables'!$C$5:$C$17)</f>
        <v>33878.5</v>
      </c>
      <c r="AC586" s="11" t="n">
        <f aca="false">IF(W586&lt;0,-1E+099,P586-T586-AB586+Y586+(T586+U586)*Calculator!$B$9)</f>
        <v>358162.675</v>
      </c>
    </row>
    <row r="587" customFormat="false" ht="15" hidden="false" customHeight="false" outlineLevel="0" collapsed="false">
      <c r="A587" s="11" t="n">
        <f aca="false">574*$B$3</f>
        <v>287000</v>
      </c>
      <c r="B587" s="11" t="n">
        <f aca="false">0</f>
        <v>0</v>
      </c>
      <c r="C587" s="11" t="n">
        <f aca="false">A587-B587</f>
        <v>287000</v>
      </c>
      <c r="D587" s="11" t="n">
        <f aca="false">IF(Calculator!$B$6="Yes",MIN(B587,'Tax Tables'!$B$31*'Tax Tables'!$B$32),0)</f>
        <v>0</v>
      </c>
      <c r="E587" s="11" t="n">
        <f aca="false">D587*Calculator!$B$7</f>
        <v>0</v>
      </c>
      <c r="F587" s="11" t="n">
        <f aca="false">D587*Calculator!$B$8</f>
        <v>0</v>
      </c>
      <c r="G587" s="11" t="n">
        <f aca="false">IF(B587&gt;0,'Tax Tables'!$B$32*MIN(MAX(B587/'Tax Tables'!$B$32*'Tax Tables'!$B$33,'Tax Tables'!$B$34),'Tax Tables'!$B$35),0)</f>
        <v>0</v>
      </c>
      <c r="H587" s="11" t="n">
        <f aca="false">Calculator!$B$5-A587-F587-G587</f>
        <v>113000</v>
      </c>
      <c r="I587" s="11" t="n">
        <f aca="false">'Tax Tables'!$B$22*(MAX(H587,0)-IF(Calculator!$B$10="Yes",MIN(MAX(H587,0),'Tax Tables'!$B$27)*'Tax Tables'!$B$28+MIN(MAX(MAX(H587,0)-'Tax Tables'!$B$27,0),'Tax Tables'!$B$29)*'Tax Tables'!$B$30,MIN(MAX(H587,0),'Tax Tables'!$B$23)*'Tax Tables'!$B$24+MIN(MAX(MAX(H587,0)-'Tax Tables'!$B$23,0),'Tax Tables'!$B$25)*'Tax Tables'!$B$26))*1-MIN('Tax Tables'!$B$22*(MAX(H587,0)-IF(Calculator!$B$10="Yes",MIN(MAX(H587,0),'Tax Tables'!$B$27)*'Tax Tables'!$B$28+MIN(MAX(MAX(H587,0)-'Tax Tables'!$B$27,0),'Tax Tables'!$B$29)*'Tax Tables'!$B$30,MIN(MAX(H587,0),'Tax Tables'!$B$23)*'Tax Tables'!$B$24+MIN(MAX(MAX(H587,0)-'Tax Tables'!$B$23,0),'Tax Tables'!$B$25)*'Tax Tables'!$B$26))*Calculator!$B$11,Calculator!$B$12)</f>
        <v>9180</v>
      </c>
      <c r="J587" s="11" t="n">
        <f aca="false">MAX(H587,0)-I587</f>
        <v>103820</v>
      </c>
      <c r="K587" s="11" t="n">
        <f aca="false">MIN(IF(A587&gt;0,Calculator!$B$13,0)+E587+Calculator!$B$14,'Tax Tables'!$B$36)</f>
        <v>1000</v>
      </c>
      <c r="L587" s="11" t="n">
        <f aca="false">MAX(A587-K587,0)</f>
        <v>286000</v>
      </c>
      <c r="M587" s="11" t="n">
        <f aca="false">SUMPRODUCT((L587&gt;'Tax Tables'!$A$5:$A$17)*(L587-'Tax Tables'!$A$5:$A$17)*'Tax Tables'!$C$5:$C$17)</f>
        <v>37750</v>
      </c>
      <c r="N587" s="11" t="n">
        <f aca="false">IF(H587&lt;0,-1E+099,A587-E587-M587+J587+(E587+F587)*Calculator!$B$9)</f>
        <v>353070</v>
      </c>
      <c r="O587" s="2"/>
      <c r="P587" s="11" t="n">
        <f aca="false">574*$B$3</f>
        <v>287000</v>
      </c>
      <c r="Q587" s="11" t="n">
        <f aca="false">MIN(P587,'Tax Tables'!$B$31*'Tax Tables'!$B$32)</f>
        <v>96000</v>
      </c>
      <c r="R587" s="11" t="n">
        <f aca="false">P587-Q587</f>
        <v>191000</v>
      </c>
      <c r="S587" s="11" t="n">
        <f aca="false">IF(Calculator!$B$6="Yes",MIN(Q587,'Tax Tables'!$B$31*'Tax Tables'!$B$32),0)</f>
        <v>96000</v>
      </c>
      <c r="T587" s="11" t="n">
        <f aca="false">S587*Calculator!$B$7</f>
        <v>19200</v>
      </c>
      <c r="U587" s="11" t="n">
        <f aca="false">S587*Calculator!$B$8</f>
        <v>16320</v>
      </c>
      <c r="V587" s="11" t="n">
        <f aca="false">IF(Q587&gt;0,'Tax Tables'!$B$32*MIN(MAX(Q587/'Tax Tables'!$B$32*'Tax Tables'!$B$33,'Tax Tables'!$B$34),'Tax Tables'!$B$35),0)</f>
        <v>135</v>
      </c>
      <c r="W587" s="11" t="n">
        <f aca="false">Calculator!$B$5-P587-U587-V587</f>
        <v>96545</v>
      </c>
      <c r="X587" s="11" t="n">
        <f aca="false">'Tax Tables'!$B$22*(MAX(W587,0)-IF(Calculator!$B$10="Yes",MIN(MAX(W587,0),'Tax Tables'!$B$27)*'Tax Tables'!$B$28+MIN(MAX(MAX(W587,0)-'Tax Tables'!$B$27,0),'Tax Tables'!$B$29)*'Tax Tables'!$B$30,MIN(MAX(W587,0),'Tax Tables'!$B$23)*'Tax Tables'!$B$24+MIN(MAX(MAX(W587,0)-'Tax Tables'!$B$23,0),'Tax Tables'!$B$25)*'Tax Tables'!$B$26))*1-MIN('Tax Tables'!$B$22*(MAX(W587,0)-IF(Calculator!$B$10="Yes",MIN(MAX(W587,0),'Tax Tables'!$B$27)*'Tax Tables'!$B$28+MIN(MAX(MAX(W587,0)-'Tax Tables'!$B$27,0),'Tax Tables'!$B$29)*'Tax Tables'!$B$30,MIN(MAX(W587,0),'Tax Tables'!$B$23)*'Tax Tables'!$B$24+MIN(MAX(MAX(W587,0)-'Tax Tables'!$B$23,0),'Tax Tables'!$B$25)*'Tax Tables'!$B$26))*Calculator!$B$11,Calculator!$B$12)</f>
        <v>7781.325</v>
      </c>
      <c r="Y587" s="11" t="n">
        <f aca="false">MAX(W587,0)-X587</f>
        <v>88763.675</v>
      </c>
      <c r="Z587" s="11" t="n">
        <f aca="false">MIN(IF(P587&gt;0,Calculator!$B$13,0)+T587+Calculator!$B$14,'Tax Tables'!$B$36)</f>
        <v>20200</v>
      </c>
      <c r="AA587" s="11" t="n">
        <f aca="false">MAX(P587-Z587,0)</f>
        <v>266800</v>
      </c>
      <c r="AB587" s="11" t="n">
        <f aca="false">SUMPRODUCT((AA587&gt;'Tax Tables'!$A$5:$A$17)*(AA587-'Tax Tables'!$A$5:$A$17)*'Tax Tables'!$C$5:$C$17)</f>
        <v>33976</v>
      </c>
      <c r="AC587" s="11" t="n">
        <f aca="false">IF(W587&lt;0,-1E+099,P587-T587-AB587+Y587+(T587+U587)*Calculator!$B$9)</f>
        <v>358107.675</v>
      </c>
    </row>
    <row r="588" customFormat="false" ht="15" hidden="false" customHeight="false" outlineLevel="0" collapsed="false">
      <c r="A588" s="11" t="n">
        <f aca="false">575*$B$3</f>
        <v>287500</v>
      </c>
      <c r="B588" s="11" t="n">
        <f aca="false">0</f>
        <v>0</v>
      </c>
      <c r="C588" s="11" t="n">
        <f aca="false">A588-B588</f>
        <v>287500</v>
      </c>
      <c r="D588" s="11" t="n">
        <f aca="false">IF(Calculator!$B$6="Yes",MIN(B588,'Tax Tables'!$B$31*'Tax Tables'!$B$32),0)</f>
        <v>0</v>
      </c>
      <c r="E588" s="11" t="n">
        <f aca="false">D588*Calculator!$B$7</f>
        <v>0</v>
      </c>
      <c r="F588" s="11" t="n">
        <f aca="false">D588*Calculator!$B$8</f>
        <v>0</v>
      </c>
      <c r="G588" s="11" t="n">
        <f aca="false">IF(B588&gt;0,'Tax Tables'!$B$32*MIN(MAX(B588/'Tax Tables'!$B$32*'Tax Tables'!$B$33,'Tax Tables'!$B$34),'Tax Tables'!$B$35),0)</f>
        <v>0</v>
      </c>
      <c r="H588" s="11" t="n">
        <f aca="false">Calculator!$B$5-A588-F588-G588</f>
        <v>112500</v>
      </c>
      <c r="I588" s="11" t="n">
        <f aca="false">'Tax Tables'!$B$22*(MAX(H588,0)-IF(Calculator!$B$10="Yes",MIN(MAX(H588,0),'Tax Tables'!$B$27)*'Tax Tables'!$B$28+MIN(MAX(MAX(H588,0)-'Tax Tables'!$B$27,0),'Tax Tables'!$B$29)*'Tax Tables'!$B$30,MIN(MAX(H588,0),'Tax Tables'!$B$23)*'Tax Tables'!$B$24+MIN(MAX(MAX(H588,0)-'Tax Tables'!$B$23,0),'Tax Tables'!$B$25)*'Tax Tables'!$B$26))*1-MIN('Tax Tables'!$B$22*(MAX(H588,0)-IF(Calculator!$B$10="Yes",MIN(MAX(H588,0),'Tax Tables'!$B$27)*'Tax Tables'!$B$28+MIN(MAX(MAX(H588,0)-'Tax Tables'!$B$27,0),'Tax Tables'!$B$29)*'Tax Tables'!$B$30,MIN(MAX(H588,0),'Tax Tables'!$B$23)*'Tax Tables'!$B$24+MIN(MAX(MAX(H588,0)-'Tax Tables'!$B$23,0),'Tax Tables'!$B$25)*'Tax Tables'!$B$26))*Calculator!$B$11,Calculator!$B$12)</f>
        <v>9137.5</v>
      </c>
      <c r="J588" s="11" t="n">
        <f aca="false">MAX(H588,0)-I588</f>
        <v>103362.5</v>
      </c>
      <c r="K588" s="11" t="n">
        <f aca="false">MIN(IF(A588&gt;0,Calculator!$B$13,0)+E588+Calculator!$B$14,'Tax Tables'!$B$36)</f>
        <v>1000</v>
      </c>
      <c r="L588" s="11" t="n">
        <f aca="false">MAX(A588-K588,0)</f>
        <v>286500</v>
      </c>
      <c r="M588" s="11" t="n">
        <f aca="false">SUMPRODUCT((L588&gt;'Tax Tables'!$A$5:$A$17)*(L588-'Tax Tables'!$A$5:$A$17)*'Tax Tables'!$C$5:$C$17)</f>
        <v>37850</v>
      </c>
      <c r="N588" s="11" t="n">
        <f aca="false">IF(H588&lt;0,-1E+099,A588-E588-M588+J588+(E588+F588)*Calculator!$B$9)</f>
        <v>353012.5</v>
      </c>
      <c r="O588" s="2"/>
      <c r="P588" s="11" t="n">
        <f aca="false">575*$B$3</f>
        <v>287500</v>
      </c>
      <c r="Q588" s="11" t="n">
        <f aca="false">MIN(P588,'Tax Tables'!$B$31*'Tax Tables'!$B$32)</f>
        <v>96000</v>
      </c>
      <c r="R588" s="11" t="n">
        <f aca="false">P588-Q588</f>
        <v>191500</v>
      </c>
      <c r="S588" s="11" t="n">
        <f aca="false">IF(Calculator!$B$6="Yes",MIN(Q588,'Tax Tables'!$B$31*'Tax Tables'!$B$32),0)</f>
        <v>96000</v>
      </c>
      <c r="T588" s="11" t="n">
        <f aca="false">S588*Calculator!$B$7</f>
        <v>19200</v>
      </c>
      <c r="U588" s="11" t="n">
        <f aca="false">S588*Calculator!$B$8</f>
        <v>16320</v>
      </c>
      <c r="V588" s="11" t="n">
        <f aca="false">IF(Q588&gt;0,'Tax Tables'!$B$32*MIN(MAX(Q588/'Tax Tables'!$B$32*'Tax Tables'!$B$33,'Tax Tables'!$B$34),'Tax Tables'!$B$35),0)</f>
        <v>135</v>
      </c>
      <c r="W588" s="11" t="n">
        <f aca="false">Calculator!$B$5-P588-U588-V588</f>
        <v>96045</v>
      </c>
      <c r="X588" s="11" t="n">
        <f aca="false">'Tax Tables'!$B$22*(MAX(W588,0)-IF(Calculator!$B$10="Yes",MIN(MAX(W588,0),'Tax Tables'!$B$27)*'Tax Tables'!$B$28+MIN(MAX(MAX(W588,0)-'Tax Tables'!$B$27,0),'Tax Tables'!$B$29)*'Tax Tables'!$B$30,MIN(MAX(W588,0),'Tax Tables'!$B$23)*'Tax Tables'!$B$24+MIN(MAX(MAX(W588,0)-'Tax Tables'!$B$23,0),'Tax Tables'!$B$25)*'Tax Tables'!$B$26))*1-MIN('Tax Tables'!$B$22*(MAX(W588,0)-IF(Calculator!$B$10="Yes",MIN(MAX(W588,0),'Tax Tables'!$B$27)*'Tax Tables'!$B$28+MIN(MAX(MAX(W588,0)-'Tax Tables'!$B$27,0),'Tax Tables'!$B$29)*'Tax Tables'!$B$30,MIN(MAX(W588,0),'Tax Tables'!$B$23)*'Tax Tables'!$B$24+MIN(MAX(MAX(W588,0)-'Tax Tables'!$B$23,0),'Tax Tables'!$B$25)*'Tax Tables'!$B$26))*Calculator!$B$11,Calculator!$B$12)</f>
        <v>7738.825</v>
      </c>
      <c r="Y588" s="11" t="n">
        <f aca="false">MAX(W588,0)-X588</f>
        <v>88306.175</v>
      </c>
      <c r="Z588" s="11" t="n">
        <f aca="false">MIN(IF(P588&gt;0,Calculator!$B$13,0)+T588+Calculator!$B$14,'Tax Tables'!$B$36)</f>
        <v>20200</v>
      </c>
      <c r="AA588" s="11" t="n">
        <f aca="false">MAX(P588-Z588,0)</f>
        <v>267300</v>
      </c>
      <c r="AB588" s="11" t="n">
        <f aca="false">SUMPRODUCT((AA588&gt;'Tax Tables'!$A$5:$A$17)*(AA588-'Tax Tables'!$A$5:$A$17)*'Tax Tables'!$C$5:$C$17)</f>
        <v>34073.5</v>
      </c>
      <c r="AC588" s="11" t="n">
        <f aca="false">IF(W588&lt;0,-1E+099,P588-T588-AB588+Y588+(T588+U588)*Calculator!$B$9)</f>
        <v>358052.675</v>
      </c>
    </row>
    <row r="589" customFormat="false" ht="15" hidden="false" customHeight="false" outlineLevel="0" collapsed="false">
      <c r="A589" s="11" t="n">
        <f aca="false">576*$B$3</f>
        <v>288000</v>
      </c>
      <c r="B589" s="11" t="n">
        <f aca="false">0</f>
        <v>0</v>
      </c>
      <c r="C589" s="11" t="n">
        <f aca="false">A589-B589</f>
        <v>288000</v>
      </c>
      <c r="D589" s="11" t="n">
        <f aca="false">IF(Calculator!$B$6="Yes",MIN(B589,'Tax Tables'!$B$31*'Tax Tables'!$B$32),0)</f>
        <v>0</v>
      </c>
      <c r="E589" s="11" t="n">
        <f aca="false">D589*Calculator!$B$7</f>
        <v>0</v>
      </c>
      <c r="F589" s="11" t="n">
        <f aca="false">D589*Calculator!$B$8</f>
        <v>0</v>
      </c>
      <c r="G589" s="11" t="n">
        <f aca="false">IF(B589&gt;0,'Tax Tables'!$B$32*MIN(MAX(B589/'Tax Tables'!$B$32*'Tax Tables'!$B$33,'Tax Tables'!$B$34),'Tax Tables'!$B$35),0)</f>
        <v>0</v>
      </c>
      <c r="H589" s="11" t="n">
        <f aca="false">Calculator!$B$5-A589-F589-G589</f>
        <v>112000</v>
      </c>
      <c r="I589" s="11" t="n">
        <f aca="false">'Tax Tables'!$B$22*(MAX(H589,0)-IF(Calculator!$B$10="Yes",MIN(MAX(H589,0),'Tax Tables'!$B$27)*'Tax Tables'!$B$28+MIN(MAX(MAX(H589,0)-'Tax Tables'!$B$27,0),'Tax Tables'!$B$29)*'Tax Tables'!$B$30,MIN(MAX(H589,0),'Tax Tables'!$B$23)*'Tax Tables'!$B$24+MIN(MAX(MAX(H589,0)-'Tax Tables'!$B$23,0),'Tax Tables'!$B$25)*'Tax Tables'!$B$26))*1-MIN('Tax Tables'!$B$22*(MAX(H589,0)-IF(Calculator!$B$10="Yes",MIN(MAX(H589,0),'Tax Tables'!$B$27)*'Tax Tables'!$B$28+MIN(MAX(MAX(H589,0)-'Tax Tables'!$B$27,0),'Tax Tables'!$B$29)*'Tax Tables'!$B$30,MIN(MAX(H589,0),'Tax Tables'!$B$23)*'Tax Tables'!$B$24+MIN(MAX(MAX(H589,0)-'Tax Tables'!$B$23,0),'Tax Tables'!$B$25)*'Tax Tables'!$B$26))*Calculator!$B$11,Calculator!$B$12)</f>
        <v>9095</v>
      </c>
      <c r="J589" s="11" t="n">
        <f aca="false">MAX(H589,0)-I589</f>
        <v>102905</v>
      </c>
      <c r="K589" s="11" t="n">
        <f aca="false">MIN(IF(A589&gt;0,Calculator!$B$13,0)+E589+Calculator!$B$14,'Tax Tables'!$B$36)</f>
        <v>1000</v>
      </c>
      <c r="L589" s="11" t="n">
        <f aca="false">MAX(A589-K589,0)</f>
        <v>287000</v>
      </c>
      <c r="M589" s="11" t="n">
        <f aca="false">SUMPRODUCT((L589&gt;'Tax Tables'!$A$5:$A$17)*(L589-'Tax Tables'!$A$5:$A$17)*'Tax Tables'!$C$5:$C$17)</f>
        <v>37950</v>
      </c>
      <c r="N589" s="11" t="n">
        <f aca="false">IF(H589&lt;0,-1E+099,A589-E589-M589+J589+(E589+F589)*Calculator!$B$9)</f>
        <v>352955</v>
      </c>
      <c r="O589" s="2"/>
      <c r="P589" s="11" t="n">
        <f aca="false">576*$B$3</f>
        <v>288000</v>
      </c>
      <c r="Q589" s="11" t="n">
        <f aca="false">MIN(P589,'Tax Tables'!$B$31*'Tax Tables'!$B$32)</f>
        <v>96000</v>
      </c>
      <c r="R589" s="11" t="n">
        <f aca="false">P589-Q589</f>
        <v>192000</v>
      </c>
      <c r="S589" s="11" t="n">
        <f aca="false">IF(Calculator!$B$6="Yes",MIN(Q589,'Tax Tables'!$B$31*'Tax Tables'!$B$32),0)</f>
        <v>96000</v>
      </c>
      <c r="T589" s="11" t="n">
        <f aca="false">S589*Calculator!$B$7</f>
        <v>19200</v>
      </c>
      <c r="U589" s="11" t="n">
        <f aca="false">S589*Calculator!$B$8</f>
        <v>16320</v>
      </c>
      <c r="V589" s="11" t="n">
        <f aca="false">IF(Q589&gt;0,'Tax Tables'!$B$32*MIN(MAX(Q589/'Tax Tables'!$B$32*'Tax Tables'!$B$33,'Tax Tables'!$B$34),'Tax Tables'!$B$35),0)</f>
        <v>135</v>
      </c>
      <c r="W589" s="11" t="n">
        <f aca="false">Calculator!$B$5-P589-U589-V589</f>
        <v>95545</v>
      </c>
      <c r="X589" s="11" t="n">
        <f aca="false">'Tax Tables'!$B$22*(MAX(W589,0)-IF(Calculator!$B$10="Yes",MIN(MAX(W589,0),'Tax Tables'!$B$27)*'Tax Tables'!$B$28+MIN(MAX(MAX(W589,0)-'Tax Tables'!$B$27,0),'Tax Tables'!$B$29)*'Tax Tables'!$B$30,MIN(MAX(W589,0),'Tax Tables'!$B$23)*'Tax Tables'!$B$24+MIN(MAX(MAX(W589,0)-'Tax Tables'!$B$23,0),'Tax Tables'!$B$25)*'Tax Tables'!$B$26))*1-MIN('Tax Tables'!$B$22*(MAX(W589,0)-IF(Calculator!$B$10="Yes",MIN(MAX(W589,0),'Tax Tables'!$B$27)*'Tax Tables'!$B$28+MIN(MAX(MAX(W589,0)-'Tax Tables'!$B$27,0),'Tax Tables'!$B$29)*'Tax Tables'!$B$30,MIN(MAX(W589,0),'Tax Tables'!$B$23)*'Tax Tables'!$B$24+MIN(MAX(MAX(W589,0)-'Tax Tables'!$B$23,0),'Tax Tables'!$B$25)*'Tax Tables'!$B$26))*Calculator!$B$11,Calculator!$B$12)</f>
        <v>7696.325</v>
      </c>
      <c r="Y589" s="11" t="n">
        <f aca="false">MAX(W589,0)-X589</f>
        <v>87848.675</v>
      </c>
      <c r="Z589" s="11" t="n">
        <f aca="false">MIN(IF(P589&gt;0,Calculator!$B$13,0)+T589+Calculator!$B$14,'Tax Tables'!$B$36)</f>
        <v>20200</v>
      </c>
      <c r="AA589" s="11" t="n">
        <f aca="false">MAX(P589-Z589,0)</f>
        <v>267800</v>
      </c>
      <c r="AB589" s="11" t="n">
        <f aca="false">SUMPRODUCT((AA589&gt;'Tax Tables'!$A$5:$A$17)*(AA589-'Tax Tables'!$A$5:$A$17)*'Tax Tables'!$C$5:$C$17)</f>
        <v>34171</v>
      </c>
      <c r="AC589" s="11" t="n">
        <f aca="false">IF(W589&lt;0,-1E+099,P589-T589-AB589+Y589+(T589+U589)*Calculator!$B$9)</f>
        <v>357997.675</v>
      </c>
    </row>
    <row r="590" customFormat="false" ht="15" hidden="false" customHeight="false" outlineLevel="0" collapsed="false">
      <c r="A590" s="11" t="n">
        <f aca="false">577*$B$3</f>
        <v>288500</v>
      </c>
      <c r="B590" s="11" t="n">
        <f aca="false">0</f>
        <v>0</v>
      </c>
      <c r="C590" s="11" t="n">
        <f aca="false">A590-B590</f>
        <v>288500</v>
      </c>
      <c r="D590" s="11" t="n">
        <f aca="false">IF(Calculator!$B$6="Yes",MIN(B590,'Tax Tables'!$B$31*'Tax Tables'!$B$32),0)</f>
        <v>0</v>
      </c>
      <c r="E590" s="11" t="n">
        <f aca="false">D590*Calculator!$B$7</f>
        <v>0</v>
      </c>
      <c r="F590" s="11" t="n">
        <f aca="false">D590*Calculator!$B$8</f>
        <v>0</v>
      </c>
      <c r="G590" s="11" t="n">
        <f aca="false">IF(B590&gt;0,'Tax Tables'!$B$32*MIN(MAX(B590/'Tax Tables'!$B$32*'Tax Tables'!$B$33,'Tax Tables'!$B$34),'Tax Tables'!$B$35),0)</f>
        <v>0</v>
      </c>
      <c r="H590" s="11" t="n">
        <f aca="false">Calculator!$B$5-A590-F590-G590</f>
        <v>111500</v>
      </c>
      <c r="I590" s="11" t="n">
        <f aca="false">'Tax Tables'!$B$22*(MAX(H590,0)-IF(Calculator!$B$10="Yes",MIN(MAX(H590,0),'Tax Tables'!$B$27)*'Tax Tables'!$B$28+MIN(MAX(MAX(H590,0)-'Tax Tables'!$B$27,0),'Tax Tables'!$B$29)*'Tax Tables'!$B$30,MIN(MAX(H590,0),'Tax Tables'!$B$23)*'Tax Tables'!$B$24+MIN(MAX(MAX(H590,0)-'Tax Tables'!$B$23,0),'Tax Tables'!$B$25)*'Tax Tables'!$B$26))*1-MIN('Tax Tables'!$B$22*(MAX(H590,0)-IF(Calculator!$B$10="Yes",MIN(MAX(H590,0),'Tax Tables'!$B$27)*'Tax Tables'!$B$28+MIN(MAX(MAX(H590,0)-'Tax Tables'!$B$27,0),'Tax Tables'!$B$29)*'Tax Tables'!$B$30,MIN(MAX(H590,0),'Tax Tables'!$B$23)*'Tax Tables'!$B$24+MIN(MAX(MAX(H590,0)-'Tax Tables'!$B$23,0),'Tax Tables'!$B$25)*'Tax Tables'!$B$26))*Calculator!$B$11,Calculator!$B$12)</f>
        <v>9052.5</v>
      </c>
      <c r="J590" s="11" t="n">
        <f aca="false">MAX(H590,0)-I590</f>
        <v>102447.5</v>
      </c>
      <c r="K590" s="11" t="n">
        <f aca="false">MIN(IF(A590&gt;0,Calculator!$B$13,0)+E590+Calculator!$B$14,'Tax Tables'!$B$36)</f>
        <v>1000</v>
      </c>
      <c r="L590" s="11" t="n">
        <f aca="false">MAX(A590-K590,0)</f>
        <v>287500</v>
      </c>
      <c r="M590" s="11" t="n">
        <f aca="false">SUMPRODUCT((L590&gt;'Tax Tables'!$A$5:$A$17)*(L590-'Tax Tables'!$A$5:$A$17)*'Tax Tables'!$C$5:$C$17)</f>
        <v>38050</v>
      </c>
      <c r="N590" s="11" t="n">
        <f aca="false">IF(H590&lt;0,-1E+099,A590-E590-M590+J590+(E590+F590)*Calculator!$B$9)</f>
        <v>352897.5</v>
      </c>
      <c r="O590" s="2"/>
      <c r="P590" s="11" t="n">
        <f aca="false">577*$B$3</f>
        <v>288500</v>
      </c>
      <c r="Q590" s="11" t="n">
        <f aca="false">MIN(P590,'Tax Tables'!$B$31*'Tax Tables'!$B$32)</f>
        <v>96000</v>
      </c>
      <c r="R590" s="11" t="n">
        <f aca="false">P590-Q590</f>
        <v>192500</v>
      </c>
      <c r="S590" s="11" t="n">
        <f aca="false">IF(Calculator!$B$6="Yes",MIN(Q590,'Tax Tables'!$B$31*'Tax Tables'!$B$32),0)</f>
        <v>96000</v>
      </c>
      <c r="T590" s="11" t="n">
        <f aca="false">S590*Calculator!$B$7</f>
        <v>19200</v>
      </c>
      <c r="U590" s="11" t="n">
        <f aca="false">S590*Calculator!$B$8</f>
        <v>16320</v>
      </c>
      <c r="V590" s="11" t="n">
        <f aca="false">IF(Q590&gt;0,'Tax Tables'!$B$32*MIN(MAX(Q590/'Tax Tables'!$B$32*'Tax Tables'!$B$33,'Tax Tables'!$B$34),'Tax Tables'!$B$35),0)</f>
        <v>135</v>
      </c>
      <c r="W590" s="11" t="n">
        <f aca="false">Calculator!$B$5-P590-U590-V590</f>
        <v>95045</v>
      </c>
      <c r="X590" s="11" t="n">
        <f aca="false">'Tax Tables'!$B$22*(MAX(W590,0)-IF(Calculator!$B$10="Yes",MIN(MAX(W590,0),'Tax Tables'!$B$27)*'Tax Tables'!$B$28+MIN(MAX(MAX(W590,0)-'Tax Tables'!$B$27,0),'Tax Tables'!$B$29)*'Tax Tables'!$B$30,MIN(MAX(W590,0),'Tax Tables'!$B$23)*'Tax Tables'!$B$24+MIN(MAX(MAX(W590,0)-'Tax Tables'!$B$23,0),'Tax Tables'!$B$25)*'Tax Tables'!$B$26))*1-MIN('Tax Tables'!$B$22*(MAX(W590,0)-IF(Calculator!$B$10="Yes",MIN(MAX(W590,0),'Tax Tables'!$B$27)*'Tax Tables'!$B$28+MIN(MAX(MAX(W590,0)-'Tax Tables'!$B$27,0),'Tax Tables'!$B$29)*'Tax Tables'!$B$30,MIN(MAX(W590,0),'Tax Tables'!$B$23)*'Tax Tables'!$B$24+MIN(MAX(MAX(W590,0)-'Tax Tables'!$B$23,0),'Tax Tables'!$B$25)*'Tax Tables'!$B$26))*Calculator!$B$11,Calculator!$B$12)</f>
        <v>7653.825</v>
      </c>
      <c r="Y590" s="11" t="n">
        <f aca="false">MAX(W590,0)-X590</f>
        <v>87391.175</v>
      </c>
      <c r="Z590" s="11" t="n">
        <f aca="false">MIN(IF(P590&gt;0,Calculator!$B$13,0)+T590+Calculator!$B$14,'Tax Tables'!$B$36)</f>
        <v>20200</v>
      </c>
      <c r="AA590" s="11" t="n">
        <f aca="false">MAX(P590-Z590,0)</f>
        <v>268300</v>
      </c>
      <c r="AB590" s="11" t="n">
        <f aca="false">SUMPRODUCT((AA590&gt;'Tax Tables'!$A$5:$A$17)*(AA590-'Tax Tables'!$A$5:$A$17)*'Tax Tables'!$C$5:$C$17)</f>
        <v>34268.5</v>
      </c>
      <c r="AC590" s="11" t="n">
        <f aca="false">IF(W590&lt;0,-1E+099,P590-T590-AB590+Y590+(T590+U590)*Calculator!$B$9)</f>
        <v>357942.675</v>
      </c>
    </row>
    <row r="591" customFormat="false" ht="15" hidden="false" customHeight="false" outlineLevel="0" collapsed="false">
      <c r="A591" s="11" t="n">
        <f aca="false">578*$B$3</f>
        <v>289000</v>
      </c>
      <c r="B591" s="11" t="n">
        <f aca="false">0</f>
        <v>0</v>
      </c>
      <c r="C591" s="11" t="n">
        <f aca="false">A591-B591</f>
        <v>289000</v>
      </c>
      <c r="D591" s="11" t="n">
        <f aca="false">IF(Calculator!$B$6="Yes",MIN(B591,'Tax Tables'!$B$31*'Tax Tables'!$B$32),0)</f>
        <v>0</v>
      </c>
      <c r="E591" s="11" t="n">
        <f aca="false">D591*Calculator!$B$7</f>
        <v>0</v>
      </c>
      <c r="F591" s="11" t="n">
        <f aca="false">D591*Calculator!$B$8</f>
        <v>0</v>
      </c>
      <c r="G591" s="11" t="n">
        <f aca="false">IF(B591&gt;0,'Tax Tables'!$B$32*MIN(MAX(B591/'Tax Tables'!$B$32*'Tax Tables'!$B$33,'Tax Tables'!$B$34),'Tax Tables'!$B$35),0)</f>
        <v>0</v>
      </c>
      <c r="H591" s="11" t="n">
        <f aca="false">Calculator!$B$5-A591-F591-G591</f>
        <v>111000</v>
      </c>
      <c r="I591" s="11" t="n">
        <f aca="false">'Tax Tables'!$B$22*(MAX(H591,0)-IF(Calculator!$B$10="Yes",MIN(MAX(H591,0),'Tax Tables'!$B$27)*'Tax Tables'!$B$28+MIN(MAX(MAX(H591,0)-'Tax Tables'!$B$27,0),'Tax Tables'!$B$29)*'Tax Tables'!$B$30,MIN(MAX(H591,0),'Tax Tables'!$B$23)*'Tax Tables'!$B$24+MIN(MAX(MAX(H591,0)-'Tax Tables'!$B$23,0),'Tax Tables'!$B$25)*'Tax Tables'!$B$26))*1-MIN('Tax Tables'!$B$22*(MAX(H591,0)-IF(Calculator!$B$10="Yes",MIN(MAX(H591,0),'Tax Tables'!$B$27)*'Tax Tables'!$B$28+MIN(MAX(MAX(H591,0)-'Tax Tables'!$B$27,0),'Tax Tables'!$B$29)*'Tax Tables'!$B$30,MIN(MAX(H591,0),'Tax Tables'!$B$23)*'Tax Tables'!$B$24+MIN(MAX(MAX(H591,0)-'Tax Tables'!$B$23,0),'Tax Tables'!$B$25)*'Tax Tables'!$B$26))*Calculator!$B$11,Calculator!$B$12)</f>
        <v>9010</v>
      </c>
      <c r="J591" s="11" t="n">
        <f aca="false">MAX(H591,0)-I591</f>
        <v>101990</v>
      </c>
      <c r="K591" s="11" t="n">
        <f aca="false">MIN(IF(A591&gt;0,Calculator!$B$13,0)+E591+Calculator!$B$14,'Tax Tables'!$B$36)</f>
        <v>1000</v>
      </c>
      <c r="L591" s="11" t="n">
        <f aca="false">MAX(A591-K591,0)</f>
        <v>288000</v>
      </c>
      <c r="M591" s="11" t="n">
        <f aca="false">SUMPRODUCT((L591&gt;'Tax Tables'!$A$5:$A$17)*(L591-'Tax Tables'!$A$5:$A$17)*'Tax Tables'!$C$5:$C$17)</f>
        <v>38150</v>
      </c>
      <c r="N591" s="11" t="n">
        <f aca="false">IF(H591&lt;0,-1E+099,A591-E591-M591+J591+(E591+F591)*Calculator!$B$9)</f>
        <v>352840</v>
      </c>
      <c r="O591" s="2"/>
      <c r="P591" s="11" t="n">
        <f aca="false">578*$B$3</f>
        <v>289000</v>
      </c>
      <c r="Q591" s="11" t="n">
        <f aca="false">MIN(P591,'Tax Tables'!$B$31*'Tax Tables'!$B$32)</f>
        <v>96000</v>
      </c>
      <c r="R591" s="11" t="n">
        <f aca="false">P591-Q591</f>
        <v>193000</v>
      </c>
      <c r="S591" s="11" t="n">
        <f aca="false">IF(Calculator!$B$6="Yes",MIN(Q591,'Tax Tables'!$B$31*'Tax Tables'!$B$32),0)</f>
        <v>96000</v>
      </c>
      <c r="T591" s="11" t="n">
        <f aca="false">S591*Calculator!$B$7</f>
        <v>19200</v>
      </c>
      <c r="U591" s="11" t="n">
        <f aca="false">S591*Calculator!$B$8</f>
        <v>16320</v>
      </c>
      <c r="V591" s="11" t="n">
        <f aca="false">IF(Q591&gt;0,'Tax Tables'!$B$32*MIN(MAX(Q591/'Tax Tables'!$B$32*'Tax Tables'!$B$33,'Tax Tables'!$B$34),'Tax Tables'!$B$35),0)</f>
        <v>135</v>
      </c>
      <c r="W591" s="11" t="n">
        <f aca="false">Calculator!$B$5-P591-U591-V591</f>
        <v>94545</v>
      </c>
      <c r="X591" s="11" t="n">
        <f aca="false">'Tax Tables'!$B$22*(MAX(W591,0)-IF(Calculator!$B$10="Yes",MIN(MAX(W591,0),'Tax Tables'!$B$27)*'Tax Tables'!$B$28+MIN(MAX(MAX(W591,0)-'Tax Tables'!$B$27,0),'Tax Tables'!$B$29)*'Tax Tables'!$B$30,MIN(MAX(W591,0),'Tax Tables'!$B$23)*'Tax Tables'!$B$24+MIN(MAX(MAX(W591,0)-'Tax Tables'!$B$23,0),'Tax Tables'!$B$25)*'Tax Tables'!$B$26))*1-MIN('Tax Tables'!$B$22*(MAX(W591,0)-IF(Calculator!$B$10="Yes",MIN(MAX(W591,0),'Tax Tables'!$B$27)*'Tax Tables'!$B$28+MIN(MAX(MAX(W591,0)-'Tax Tables'!$B$27,0),'Tax Tables'!$B$29)*'Tax Tables'!$B$30,MIN(MAX(W591,0),'Tax Tables'!$B$23)*'Tax Tables'!$B$24+MIN(MAX(MAX(W591,0)-'Tax Tables'!$B$23,0),'Tax Tables'!$B$25)*'Tax Tables'!$B$26))*Calculator!$B$11,Calculator!$B$12)</f>
        <v>7611.325</v>
      </c>
      <c r="Y591" s="11" t="n">
        <f aca="false">MAX(W591,0)-X591</f>
        <v>86933.675</v>
      </c>
      <c r="Z591" s="11" t="n">
        <f aca="false">MIN(IF(P591&gt;0,Calculator!$B$13,0)+T591+Calculator!$B$14,'Tax Tables'!$B$36)</f>
        <v>20200</v>
      </c>
      <c r="AA591" s="11" t="n">
        <f aca="false">MAX(P591-Z591,0)</f>
        <v>268800</v>
      </c>
      <c r="AB591" s="11" t="n">
        <f aca="false">SUMPRODUCT((AA591&gt;'Tax Tables'!$A$5:$A$17)*(AA591-'Tax Tables'!$A$5:$A$17)*'Tax Tables'!$C$5:$C$17)</f>
        <v>34366</v>
      </c>
      <c r="AC591" s="11" t="n">
        <f aca="false">IF(W591&lt;0,-1E+099,P591-T591-AB591+Y591+(T591+U591)*Calculator!$B$9)</f>
        <v>357887.675</v>
      </c>
    </row>
    <row r="592" customFormat="false" ht="15" hidden="false" customHeight="false" outlineLevel="0" collapsed="false">
      <c r="A592" s="11" t="n">
        <f aca="false">579*$B$3</f>
        <v>289500</v>
      </c>
      <c r="B592" s="11" t="n">
        <f aca="false">0</f>
        <v>0</v>
      </c>
      <c r="C592" s="11" t="n">
        <f aca="false">A592-B592</f>
        <v>289500</v>
      </c>
      <c r="D592" s="11" t="n">
        <f aca="false">IF(Calculator!$B$6="Yes",MIN(B592,'Tax Tables'!$B$31*'Tax Tables'!$B$32),0)</f>
        <v>0</v>
      </c>
      <c r="E592" s="11" t="n">
        <f aca="false">D592*Calculator!$B$7</f>
        <v>0</v>
      </c>
      <c r="F592" s="11" t="n">
        <f aca="false">D592*Calculator!$B$8</f>
        <v>0</v>
      </c>
      <c r="G592" s="11" t="n">
        <f aca="false">IF(B592&gt;0,'Tax Tables'!$B$32*MIN(MAX(B592/'Tax Tables'!$B$32*'Tax Tables'!$B$33,'Tax Tables'!$B$34),'Tax Tables'!$B$35),0)</f>
        <v>0</v>
      </c>
      <c r="H592" s="11" t="n">
        <f aca="false">Calculator!$B$5-A592-F592-G592</f>
        <v>110500</v>
      </c>
      <c r="I592" s="11" t="n">
        <f aca="false">'Tax Tables'!$B$22*(MAX(H592,0)-IF(Calculator!$B$10="Yes",MIN(MAX(H592,0),'Tax Tables'!$B$27)*'Tax Tables'!$B$28+MIN(MAX(MAX(H592,0)-'Tax Tables'!$B$27,0),'Tax Tables'!$B$29)*'Tax Tables'!$B$30,MIN(MAX(H592,0),'Tax Tables'!$B$23)*'Tax Tables'!$B$24+MIN(MAX(MAX(H592,0)-'Tax Tables'!$B$23,0),'Tax Tables'!$B$25)*'Tax Tables'!$B$26))*1-MIN('Tax Tables'!$B$22*(MAX(H592,0)-IF(Calculator!$B$10="Yes",MIN(MAX(H592,0),'Tax Tables'!$B$27)*'Tax Tables'!$B$28+MIN(MAX(MAX(H592,0)-'Tax Tables'!$B$27,0),'Tax Tables'!$B$29)*'Tax Tables'!$B$30,MIN(MAX(H592,0),'Tax Tables'!$B$23)*'Tax Tables'!$B$24+MIN(MAX(MAX(H592,0)-'Tax Tables'!$B$23,0),'Tax Tables'!$B$25)*'Tax Tables'!$B$26))*Calculator!$B$11,Calculator!$B$12)</f>
        <v>8967.5</v>
      </c>
      <c r="J592" s="11" t="n">
        <f aca="false">MAX(H592,0)-I592</f>
        <v>101532.5</v>
      </c>
      <c r="K592" s="11" t="n">
        <f aca="false">MIN(IF(A592&gt;0,Calculator!$B$13,0)+E592+Calculator!$B$14,'Tax Tables'!$B$36)</f>
        <v>1000</v>
      </c>
      <c r="L592" s="11" t="n">
        <f aca="false">MAX(A592-K592,0)</f>
        <v>288500</v>
      </c>
      <c r="M592" s="11" t="n">
        <f aca="false">SUMPRODUCT((L592&gt;'Tax Tables'!$A$5:$A$17)*(L592-'Tax Tables'!$A$5:$A$17)*'Tax Tables'!$C$5:$C$17)</f>
        <v>38250</v>
      </c>
      <c r="N592" s="11" t="n">
        <f aca="false">IF(H592&lt;0,-1E+099,A592-E592-M592+J592+(E592+F592)*Calculator!$B$9)</f>
        <v>352782.5</v>
      </c>
      <c r="O592" s="2"/>
      <c r="P592" s="11" t="n">
        <f aca="false">579*$B$3</f>
        <v>289500</v>
      </c>
      <c r="Q592" s="11" t="n">
        <f aca="false">MIN(P592,'Tax Tables'!$B$31*'Tax Tables'!$B$32)</f>
        <v>96000</v>
      </c>
      <c r="R592" s="11" t="n">
        <f aca="false">P592-Q592</f>
        <v>193500</v>
      </c>
      <c r="S592" s="11" t="n">
        <f aca="false">IF(Calculator!$B$6="Yes",MIN(Q592,'Tax Tables'!$B$31*'Tax Tables'!$B$32),0)</f>
        <v>96000</v>
      </c>
      <c r="T592" s="11" t="n">
        <f aca="false">S592*Calculator!$B$7</f>
        <v>19200</v>
      </c>
      <c r="U592" s="11" t="n">
        <f aca="false">S592*Calculator!$B$8</f>
        <v>16320</v>
      </c>
      <c r="V592" s="11" t="n">
        <f aca="false">IF(Q592&gt;0,'Tax Tables'!$B$32*MIN(MAX(Q592/'Tax Tables'!$B$32*'Tax Tables'!$B$33,'Tax Tables'!$B$34),'Tax Tables'!$B$35),0)</f>
        <v>135</v>
      </c>
      <c r="W592" s="11" t="n">
        <f aca="false">Calculator!$B$5-P592-U592-V592</f>
        <v>94045</v>
      </c>
      <c r="X592" s="11" t="n">
        <f aca="false">'Tax Tables'!$B$22*(MAX(W592,0)-IF(Calculator!$B$10="Yes",MIN(MAX(W592,0),'Tax Tables'!$B$27)*'Tax Tables'!$B$28+MIN(MAX(MAX(W592,0)-'Tax Tables'!$B$27,0),'Tax Tables'!$B$29)*'Tax Tables'!$B$30,MIN(MAX(W592,0),'Tax Tables'!$B$23)*'Tax Tables'!$B$24+MIN(MAX(MAX(W592,0)-'Tax Tables'!$B$23,0),'Tax Tables'!$B$25)*'Tax Tables'!$B$26))*1-MIN('Tax Tables'!$B$22*(MAX(W592,0)-IF(Calculator!$B$10="Yes",MIN(MAX(W592,0),'Tax Tables'!$B$27)*'Tax Tables'!$B$28+MIN(MAX(MAX(W592,0)-'Tax Tables'!$B$27,0),'Tax Tables'!$B$29)*'Tax Tables'!$B$30,MIN(MAX(W592,0),'Tax Tables'!$B$23)*'Tax Tables'!$B$24+MIN(MAX(MAX(W592,0)-'Tax Tables'!$B$23,0),'Tax Tables'!$B$25)*'Tax Tables'!$B$26))*Calculator!$B$11,Calculator!$B$12)</f>
        <v>7568.825</v>
      </c>
      <c r="Y592" s="11" t="n">
        <f aca="false">MAX(W592,0)-X592</f>
        <v>86476.175</v>
      </c>
      <c r="Z592" s="11" t="n">
        <f aca="false">MIN(IF(P592&gt;0,Calculator!$B$13,0)+T592+Calculator!$B$14,'Tax Tables'!$B$36)</f>
        <v>20200</v>
      </c>
      <c r="AA592" s="11" t="n">
        <f aca="false">MAX(P592-Z592,0)</f>
        <v>269300</v>
      </c>
      <c r="AB592" s="11" t="n">
        <f aca="false">SUMPRODUCT((AA592&gt;'Tax Tables'!$A$5:$A$17)*(AA592-'Tax Tables'!$A$5:$A$17)*'Tax Tables'!$C$5:$C$17)</f>
        <v>34463.5</v>
      </c>
      <c r="AC592" s="11" t="n">
        <f aca="false">IF(W592&lt;0,-1E+099,P592-T592-AB592+Y592+(T592+U592)*Calculator!$B$9)</f>
        <v>357832.675</v>
      </c>
    </row>
    <row r="593" customFormat="false" ht="15" hidden="false" customHeight="false" outlineLevel="0" collapsed="false">
      <c r="A593" s="11" t="n">
        <f aca="false">580*$B$3</f>
        <v>290000</v>
      </c>
      <c r="B593" s="11" t="n">
        <f aca="false">0</f>
        <v>0</v>
      </c>
      <c r="C593" s="11" t="n">
        <f aca="false">A593-B593</f>
        <v>290000</v>
      </c>
      <c r="D593" s="11" t="n">
        <f aca="false">IF(Calculator!$B$6="Yes",MIN(B593,'Tax Tables'!$B$31*'Tax Tables'!$B$32),0)</f>
        <v>0</v>
      </c>
      <c r="E593" s="11" t="n">
        <f aca="false">D593*Calculator!$B$7</f>
        <v>0</v>
      </c>
      <c r="F593" s="11" t="n">
        <f aca="false">D593*Calculator!$B$8</f>
        <v>0</v>
      </c>
      <c r="G593" s="11" t="n">
        <f aca="false">IF(B593&gt;0,'Tax Tables'!$B$32*MIN(MAX(B593/'Tax Tables'!$B$32*'Tax Tables'!$B$33,'Tax Tables'!$B$34),'Tax Tables'!$B$35),0)</f>
        <v>0</v>
      </c>
      <c r="H593" s="11" t="n">
        <f aca="false">Calculator!$B$5-A593-F593-G593</f>
        <v>110000</v>
      </c>
      <c r="I593" s="11" t="n">
        <f aca="false">'Tax Tables'!$B$22*(MAX(H593,0)-IF(Calculator!$B$10="Yes",MIN(MAX(H593,0),'Tax Tables'!$B$27)*'Tax Tables'!$B$28+MIN(MAX(MAX(H593,0)-'Tax Tables'!$B$27,0),'Tax Tables'!$B$29)*'Tax Tables'!$B$30,MIN(MAX(H593,0),'Tax Tables'!$B$23)*'Tax Tables'!$B$24+MIN(MAX(MAX(H593,0)-'Tax Tables'!$B$23,0),'Tax Tables'!$B$25)*'Tax Tables'!$B$26))*1-MIN('Tax Tables'!$B$22*(MAX(H593,0)-IF(Calculator!$B$10="Yes",MIN(MAX(H593,0),'Tax Tables'!$B$27)*'Tax Tables'!$B$28+MIN(MAX(MAX(H593,0)-'Tax Tables'!$B$27,0),'Tax Tables'!$B$29)*'Tax Tables'!$B$30,MIN(MAX(H593,0),'Tax Tables'!$B$23)*'Tax Tables'!$B$24+MIN(MAX(MAX(H593,0)-'Tax Tables'!$B$23,0),'Tax Tables'!$B$25)*'Tax Tables'!$B$26))*Calculator!$B$11,Calculator!$B$12)</f>
        <v>8925</v>
      </c>
      <c r="J593" s="11" t="n">
        <f aca="false">MAX(H593,0)-I593</f>
        <v>101075</v>
      </c>
      <c r="K593" s="11" t="n">
        <f aca="false">MIN(IF(A593&gt;0,Calculator!$B$13,0)+E593+Calculator!$B$14,'Tax Tables'!$B$36)</f>
        <v>1000</v>
      </c>
      <c r="L593" s="11" t="n">
        <f aca="false">MAX(A593-K593,0)</f>
        <v>289000</v>
      </c>
      <c r="M593" s="11" t="n">
        <f aca="false">SUMPRODUCT((L593&gt;'Tax Tables'!$A$5:$A$17)*(L593-'Tax Tables'!$A$5:$A$17)*'Tax Tables'!$C$5:$C$17)</f>
        <v>38350</v>
      </c>
      <c r="N593" s="11" t="n">
        <f aca="false">IF(H593&lt;0,-1E+099,A593-E593-M593+J593+(E593+F593)*Calculator!$B$9)</f>
        <v>352725</v>
      </c>
      <c r="O593" s="2"/>
      <c r="P593" s="11" t="n">
        <f aca="false">580*$B$3</f>
        <v>290000</v>
      </c>
      <c r="Q593" s="11" t="n">
        <f aca="false">MIN(P593,'Tax Tables'!$B$31*'Tax Tables'!$B$32)</f>
        <v>96000</v>
      </c>
      <c r="R593" s="11" t="n">
        <f aca="false">P593-Q593</f>
        <v>194000</v>
      </c>
      <c r="S593" s="11" t="n">
        <f aca="false">IF(Calculator!$B$6="Yes",MIN(Q593,'Tax Tables'!$B$31*'Tax Tables'!$B$32),0)</f>
        <v>96000</v>
      </c>
      <c r="T593" s="11" t="n">
        <f aca="false">S593*Calculator!$B$7</f>
        <v>19200</v>
      </c>
      <c r="U593" s="11" t="n">
        <f aca="false">S593*Calculator!$B$8</f>
        <v>16320</v>
      </c>
      <c r="V593" s="11" t="n">
        <f aca="false">IF(Q593&gt;0,'Tax Tables'!$B$32*MIN(MAX(Q593/'Tax Tables'!$B$32*'Tax Tables'!$B$33,'Tax Tables'!$B$34),'Tax Tables'!$B$35),0)</f>
        <v>135</v>
      </c>
      <c r="W593" s="11" t="n">
        <f aca="false">Calculator!$B$5-P593-U593-V593</f>
        <v>93545</v>
      </c>
      <c r="X593" s="11" t="n">
        <f aca="false">'Tax Tables'!$B$22*(MAX(W593,0)-IF(Calculator!$B$10="Yes",MIN(MAX(W593,0),'Tax Tables'!$B$27)*'Tax Tables'!$B$28+MIN(MAX(MAX(W593,0)-'Tax Tables'!$B$27,0),'Tax Tables'!$B$29)*'Tax Tables'!$B$30,MIN(MAX(W593,0),'Tax Tables'!$B$23)*'Tax Tables'!$B$24+MIN(MAX(MAX(W593,0)-'Tax Tables'!$B$23,0),'Tax Tables'!$B$25)*'Tax Tables'!$B$26))*1-MIN('Tax Tables'!$B$22*(MAX(W593,0)-IF(Calculator!$B$10="Yes",MIN(MAX(W593,0),'Tax Tables'!$B$27)*'Tax Tables'!$B$28+MIN(MAX(MAX(W593,0)-'Tax Tables'!$B$27,0),'Tax Tables'!$B$29)*'Tax Tables'!$B$30,MIN(MAX(W593,0),'Tax Tables'!$B$23)*'Tax Tables'!$B$24+MIN(MAX(MAX(W593,0)-'Tax Tables'!$B$23,0),'Tax Tables'!$B$25)*'Tax Tables'!$B$26))*Calculator!$B$11,Calculator!$B$12)</f>
        <v>7526.325</v>
      </c>
      <c r="Y593" s="11" t="n">
        <f aca="false">MAX(W593,0)-X593</f>
        <v>86018.675</v>
      </c>
      <c r="Z593" s="11" t="n">
        <f aca="false">MIN(IF(P593&gt;0,Calculator!$B$13,0)+T593+Calculator!$B$14,'Tax Tables'!$B$36)</f>
        <v>20200</v>
      </c>
      <c r="AA593" s="11" t="n">
        <f aca="false">MAX(P593-Z593,0)</f>
        <v>269800</v>
      </c>
      <c r="AB593" s="11" t="n">
        <f aca="false">SUMPRODUCT((AA593&gt;'Tax Tables'!$A$5:$A$17)*(AA593-'Tax Tables'!$A$5:$A$17)*'Tax Tables'!$C$5:$C$17)</f>
        <v>34561</v>
      </c>
      <c r="AC593" s="11" t="n">
        <f aca="false">IF(W593&lt;0,-1E+099,P593-T593-AB593+Y593+(T593+U593)*Calculator!$B$9)</f>
        <v>357777.675</v>
      </c>
    </row>
    <row r="594" customFormat="false" ht="15" hidden="false" customHeight="false" outlineLevel="0" collapsed="false">
      <c r="A594" s="11" t="n">
        <f aca="false">581*$B$3</f>
        <v>290500</v>
      </c>
      <c r="B594" s="11" t="n">
        <f aca="false">0</f>
        <v>0</v>
      </c>
      <c r="C594" s="11" t="n">
        <f aca="false">A594-B594</f>
        <v>290500</v>
      </c>
      <c r="D594" s="11" t="n">
        <f aca="false">IF(Calculator!$B$6="Yes",MIN(B594,'Tax Tables'!$B$31*'Tax Tables'!$B$32),0)</f>
        <v>0</v>
      </c>
      <c r="E594" s="11" t="n">
        <f aca="false">D594*Calculator!$B$7</f>
        <v>0</v>
      </c>
      <c r="F594" s="11" t="n">
        <f aca="false">D594*Calculator!$B$8</f>
        <v>0</v>
      </c>
      <c r="G594" s="11" t="n">
        <f aca="false">IF(B594&gt;0,'Tax Tables'!$B$32*MIN(MAX(B594/'Tax Tables'!$B$32*'Tax Tables'!$B$33,'Tax Tables'!$B$34),'Tax Tables'!$B$35),0)</f>
        <v>0</v>
      </c>
      <c r="H594" s="11" t="n">
        <f aca="false">Calculator!$B$5-A594-F594-G594</f>
        <v>109500</v>
      </c>
      <c r="I594" s="11" t="n">
        <f aca="false">'Tax Tables'!$B$22*(MAX(H594,0)-IF(Calculator!$B$10="Yes",MIN(MAX(H594,0),'Tax Tables'!$B$27)*'Tax Tables'!$B$28+MIN(MAX(MAX(H594,0)-'Tax Tables'!$B$27,0),'Tax Tables'!$B$29)*'Tax Tables'!$B$30,MIN(MAX(H594,0),'Tax Tables'!$B$23)*'Tax Tables'!$B$24+MIN(MAX(MAX(H594,0)-'Tax Tables'!$B$23,0),'Tax Tables'!$B$25)*'Tax Tables'!$B$26))*1-MIN('Tax Tables'!$B$22*(MAX(H594,0)-IF(Calculator!$B$10="Yes",MIN(MAX(H594,0),'Tax Tables'!$B$27)*'Tax Tables'!$B$28+MIN(MAX(MAX(H594,0)-'Tax Tables'!$B$27,0),'Tax Tables'!$B$29)*'Tax Tables'!$B$30,MIN(MAX(H594,0),'Tax Tables'!$B$23)*'Tax Tables'!$B$24+MIN(MAX(MAX(H594,0)-'Tax Tables'!$B$23,0),'Tax Tables'!$B$25)*'Tax Tables'!$B$26))*Calculator!$B$11,Calculator!$B$12)</f>
        <v>8882.5</v>
      </c>
      <c r="J594" s="11" t="n">
        <f aca="false">MAX(H594,0)-I594</f>
        <v>100617.5</v>
      </c>
      <c r="K594" s="11" t="n">
        <f aca="false">MIN(IF(A594&gt;0,Calculator!$B$13,0)+E594+Calculator!$B$14,'Tax Tables'!$B$36)</f>
        <v>1000</v>
      </c>
      <c r="L594" s="11" t="n">
        <f aca="false">MAX(A594-K594,0)</f>
        <v>289500</v>
      </c>
      <c r="M594" s="11" t="n">
        <f aca="false">SUMPRODUCT((L594&gt;'Tax Tables'!$A$5:$A$17)*(L594-'Tax Tables'!$A$5:$A$17)*'Tax Tables'!$C$5:$C$17)</f>
        <v>38450</v>
      </c>
      <c r="N594" s="11" t="n">
        <f aca="false">IF(H594&lt;0,-1E+099,A594-E594-M594+J594+(E594+F594)*Calculator!$B$9)</f>
        <v>352667.5</v>
      </c>
      <c r="O594" s="2"/>
      <c r="P594" s="11" t="n">
        <f aca="false">581*$B$3</f>
        <v>290500</v>
      </c>
      <c r="Q594" s="11" t="n">
        <f aca="false">MIN(P594,'Tax Tables'!$B$31*'Tax Tables'!$B$32)</f>
        <v>96000</v>
      </c>
      <c r="R594" s="11" t="n">
        <f aca="false">P594-Q594</f>
        <v>194500</v>
      </c>
      <c r="S594" s="11" t="n">
        <f aca="false">IF(Calculator!$B$6="Yes",MIN(Q594,'Tax Tables'!$B$31*'Tax Tables'!$B$32),0)</f>
        <v>96000</v>
      </c>
      <c r="T594" s="11" t="n">
        <f aca="false">S594*Calculator!$B$7</f>
        <v>19200</v>
      </c>
      <c r="U594" s="11" t="n">
        <f aca="false">S594*Calculator!$B$8</f>
        <v>16320</v>
      </c>
      <c r="V594" s="11" t="n">
        <f aca="false">IF(Q594&gt;0,'Tax Tables'!$B$32*MIN(MAX(Q594/'Tax Tables'!$B$32*'Tax Tables'!$B$33,'Tax Tables'!$B$34),'Tax Tables'!$B$35),0)</f>
        <v>135</v>
      </c>
      <c r="W594" s="11" t="n">
        <f aca="false">Calculator!$B$5-P594-U594-V594</f>
        <v>93045</v>
      </c>
      <c r="X594" s="11" t="n">
        <f aca="false">'Tax Tables'!$B$22*(MAX(W594,0)-IF(Calculator!$B$10="Yes",MIN(MAX(W594,0),'Tax Tables'!$B$27)*'Tax Tables'!$B$28+MIN(MAX(MAX(W594,0)-'Tax Tables'!$B$27,0),'Tax Tables'!$B$29)*'Tax Tables'!$B$30,MIN(MAX(W594,0),'Tax Tables'!$B$23)*'Tax Tables'!$B$24+MIN(MAX(MAX(W594,0)-'Tax Tables'!$B$23,0),'Tax Tables'!$B$25)*'Tax Tables'!$B$26))*1-MIN('Tax Tables'!$B$22*(MAX(W594,0)-IF(Calculator!$B$10="Yes",MIN(MAX(W594,0),'Tax Tables'!$B$27)*'Tax Tables'!$B$28+MIN(MAX(MAX(W594,0)-'Tax Tables'!$B$27,0),'Tax Tables'!$B$29)*'Tax Tables'!$B$30,MIN(MAX(W594,0),'Tax Tables'!$B$23)*'Tax Tables'!$B$24+MIN(MAX(MAX(W594,0)-'Tax Tables'!$B$23,0),'Tax Tables'!$B$25)*'Tax Tables'!$B$26))*Calculator!$B$11,Calculator!$B$12)</f>
        <v>7483.825</v>
      </c>
      <c r="Y594" s="11" t="n">
        <f aca="false">MAX(W594,0)-X594</f>
        <v>85561.175</v>
      </c>
      <c r="Z594" s="11" t="n">
        <f aca="false">MIN(IF(P594&gt;0,Calculator!$B$13,0)+T594+Calculator!$B$14,'Tax Tables'!$B$36)</f>
        <v>20200</v>
      </c>
      <c r="AA594" s="11" t="n">
        <f aca="false">MAX(P594-Z594,0)</f>
        <v>270300</v>
      </c>
      <c r="AB594" s="11" t="n">
        <f aca="false">SUMPRODUCT((AA594&gt;'Tax Tables'!$A$5:$A$17)*(AA594-'Tax Tables'!$A$5:$A$17)*'Tax Tables'!$C$5:$C$17)</f>
        <v>34658.5</v>
      </c>
      <c r="AC594" s="11" t="n">
        <f aca="false">IF(W594&lt;0,-1E+099,P594-T594-AB594+Y594+(T594+U594)*Calculator!$B$9)</f>
        <v>357722.675</v>
      </c>
    </row>
    <row r="595" customFormat="false" ht="15" hidden="false" customHeight="false" outlineLevel="0" collapsed="false">
      <c r="A595" s="11" t="n">
        <f aca="false">582*$B$3</f>
        <v>291000</v>
      </c>
      <c r="B595" s="11" t="n">
        <f aca="false">0</f>
        <v>0</v>
      </c>
      <c r="C595" s="11" t="n">
        <f aca="false">A595-B595</f>
        <v>291000</v>
      </c>
      <c r="D595" s="11" t="n">
        <f aca="false">IF(Calculator!$B$6="Yes",MIN(B595,'Tax Tables'!$B$31*'Tax Tables'!$B$32),0)</f>
        <v>0</v>
      </c>
      <c r="E595" s="11" t="n">
        <f aca="false">D595*Calculator!$B$7</f>
        <v>0</v>
      </c>
      <c r="F595" s="11" t="n">
        <f aca="false">D595*Calculator!$B$8</f>
        <v>0</v>
      </c>
      <c r="G595" s="11" t="n">
        <f aca="false">IF(B595&gt;0,'Tax Tables'!$B$32*MIN(MAX(B595/'Tax Tables'!$B$32*'Tax Tables'!$B$33,'Tax Tables'!$B$34),'Tax Tables'!$B$35),0)</f>
        <v>0</v>
      </c>
      <c r="H595" s="11" t="n">
        <f aca="false">Calculator!$B$5-A595-F595-G595</f>
        <v>109000</v>
      </c>
      <c r="I595" s="11" t="n">
        <f aca="false">'Tax Tables'!$B$22*(MAX(H595,0)-IF(Calculator!$B$10="Yes",MIN(MAX(H595,0),'Tax Tables'!$B$27)*'Tax Tables'!$B$28+MIN(MAX(MAX(H595,0)-'Tax Tables'!$B$27,0),'Tax Tables'!$B$29)*'Tax Tables'!$B$30,MIN(MAX(H595,0),'Tax Tables'!$B$23)*'Tax Tables'!$B$24+MIN(MAX(MAX(H595,0)-'Tax Tables'!$B$23,0),'Tax Tables'!$B$25)*'Tax Tables'!$B$26))*1-MIN('Tax Tables'!$B$22*(MAX(H595,0)-IF(Calculator!$B$10="Yes",MIN(MAX(H595,0),'Tax Tables'!$B$27)*'Tax Tables'!$B$28+MIN(MAX(MAX(H595,0)-'Tax Tables'!$B$27,0),'Tax Tables'!$B$29)*'Tax Tables'!$B$30,MIN(MAX(H595,0),'Tax Tables'!$B$23)*'Tax Tables'!$B$24+MIN(MAX(MAX(H595,0)-'Tax Tables'!$B$23,0),'Tax Tables'!$B$25)*'Tax Tables'!$B$26))*Calculator!$B$11,Calculator!$B$12)</f>
        <v>8840</v>
      </c>
      <c r="J595" s="11" t="n">
        <f aca="false">MAX(H595,0)-I595</f>
        <v>100160</v>
      </c>
      <c r="K595" s="11" t="n">
        <f aca="false">MIN(IF(A595&gt;0,Calculator!$B$13,0)+E595+Calculator!$B$14,'Tax Tables'!$B$36)</f>
        <v>1000</v>
      </c>
      <c r="L595" s="11" t="n">
        <f aca="false">MAX(A595-K595,0)</f>
        <v>290000</v>
      </c>
      <c r="M595" s="11" t="n">
        <f aca="false">SUMPRODUCT((L595&gt;'Tax Tables'!$A$5:$A$17)*(L595-'Tax Tables'!$A$5:$A$17)*'Tax Tables'!$C$5:$C$17)</f>
        <v>38550</v>
      </c>
      <c r="N595" s="11" t="n">
        <f aca="false">IF(H595&lt;0,-1E+099,A595-E595-M595+J595+(E595+F595)*Calculator!$B$9)</f>
        <v>352610</v>
      </c>
      <c r="O595" s="2"/>
      <c r="P595" s="11" t="n">
        <f aca="false">582*$B$3</f>
        <v>291000</v>
      </c>
      <c r="Q595" s="11" t="n">
        <f aca="false">MIN(P595,'Tax Tables'!$B$31*'Tax Tables'!$B$32)</f>
        <v>96000</v>
      </c>
      <c r="R595" s="11" t="n">
        <f aca="false">P595-Q595</f>
        <v>195000</v>
      </c>
      <c r="S595" s="11" t="n">
        <f aca="false">IF(Calculator!$B$6="Yes",MIN(Q595,'Tax Tables'!$B$31*'Tax Tables'!$B$32),0)</f>
        <v>96000</v>
      </c>
      <c r="T595" s="11" t="n">
        <f aca="false">S595*Calculator!$B$7</f>
        <v>19200</v>
      </c>
      <c r="U595" s="11" t="n">
        <f aca="false">S595*Calculator!$B$8</f>
        <v>16320</v>
      </c>
      <c r="V595" s="11" t="n">
        <f aca="false">IF(Q595&gt;0,'Tax Tables'!$B$32*MIN(MAX(Q595/'Tax Tables'!$B$32*'Tax Tables'!$B$33,'Tax Tables'!$B$34),'Tax Tables'!$B$35),0)</f>
        <v>135</v>
      </c>
      <c r="W595" s="11" t="n">
        <f aca="false">Calculator!$B$5-P595-U595-V595</f>
        <v>92545</v>
      </c>
      <c r="X595" s="11" t="n">
        <f aca="false">'Tax Tables'!$B$22*(MAX(W595,0)-IF(Calculator!$B$10="Yes",MIN(MAX(W595,0),'Tax Tables'!$B$27)*'Tax Tables'!$B$28+MIN(MAX(MAX(W595,0)-'Tax Tables'!$B$27,0),'Tax Tables'!$B$29)*'Tax Tables'!$B$30,MIN(MAX(W595,0),'Tax Tables'!$B$23)*'Tax Tables'!$B$24+MIN(MAX(MAX(W595,0)-'Tax Tables'!$B$23,0),'Tax Tables'!$B$25)*'Tax Tables'!$B$26))*1-MIN('Tax Tables'!$B$22*(MAX(W595,0)-IF(Calculator!$B$10="Yes",MIN(MAX(W595,0),'Tax Tables'!$B$27)*'Tax Tables'!$B$28+MIN(MAX(MAX(W595,0)-'Tax Tables'!$B$27,0),'Tax Tables'!$B$29)*'Tax Tables'!$B$30,MIN(MAX(W595,0),'Tax Tables'!$B$23)*'Tax Tables'!$B$24+MIN(MAX(MAX(W595,0)-'Tax Tables'!$B$23,0),'Tax Tables'!$B$25)*'Tax Tables'!$B$26))*Calculator!$B$11,Calculator!$B$12)</f>
        <v>7441.325</v>
      </c>
      <c r="Y595" s="11" t="n">
        <f aca="false">MAX(W595,0)-X595</f>
        <v>85103.675</v>
      </c>
      <c r="Z595" s="11" t="n">
        <f aca="false">MIN(IF(P595&gt;0,Calculator!$B$13,0)+T595+Calculator!$B$14,'Tax Tables'!$B$36)</f>
        <v>20200</v>
      </c>
      <c r="AA595" s="11" t="n">
        <f aca="false">MAX(P595-Z595,0)</f>
        <v>270800</v>
      </c>
      <c r="AB595" s="11" t="n">
        <f aca="false">SUMPRODUCT((AA595&gt;'Tax Tables'!$A$5:$A$17)*(AA595-'Tax Tables'!$A$5:$A$17)*'Tax Tables'!$C$5:$C$17)</f>
        <v>34756</v>
      </c>
      <c r="AC595" s="11" t="n">
        <f aca="false">IF(W595&lt;0,-1E+099,P595-T595-AB595+Y595+(T595+U595)*Calculator!$B$9)</f>
        <v>357667.675</v>
      </c>
    </row>
    <row r="596" customFormat="false" ht="15" hidden="false" customHeight="false" outlineLevel="0" collapsed="false">
      <c r="A596" s="11" t="n">
        <f aca="false">583*$B$3</f>
        <v>291500</v>
      </c>
      <c r="B596" s="11" t="n">
        <f aca="false">0</f>
        <v>0</v>
      </c>
      <c r="C596" s="11" t="n">
        <f aca="false">A596-B596</f>
        <v>291500</v>
      </c>
      <c r="D596" s="11" t="n">
        <f aca="false">IF(Calculator!$B$6="Yes",MIN(B596,'Tax Tables'!$B$31*'Tax Tables'!$B$32),0)</f>
        <v>0</v>
      </c>
      <c r="E596" s="11" t="n">
        <f aca="false">D596*Calculator!$B$7</f>
        <v>0</v>
      </c>
      <c r="F596" s="11" t="n">
        <f aca="false">D596*Calculator!$B$8</f>
        <v>0</v>
      </c>
      <c r="G596" s="11" t="n">
        <f aca="false">IF(B596&gt;0,'Tax Tables'!$B$32*MIN(MAX(B596/'Tax Tables'!$B$32*'Tax Tables'!$B$33,'Tax Tables'!$B$34),'Tax Tables'!$B$35),0)</f>
        <v>0</v>
      </c>
      <c r="H596" s="11" t="n">
        <f aca="false">Calculator!$B$5-A596-F596-G596</f>
        <v>108500</v>
      </c>
      <c r="I596" s="11" t="n">
        <f aca="false">'Tax Tables'!$B$22*(MAX(H596,0)-IF(Calculator!$B$10="Yes",MIN(MAX(H596,0),'Tax Tables'!$B$27)*'Tax Tables'!$B$28+MIN(MAX(MAX(H596,0)-'Tax Tables'!$B$27,0),'Tax Tables'!$B$29)*'Tax Tables'!$B$30,MIN(MAX(H596,0),'Tax Tables'!$B$23)*'Tax Tables'!$B$24+MIN(MAX(MAX(H596,0)-'Tax Tables'!$B$23,0),'Tax Tables'!$B$25)*'Tax Tables'!$B$26))*1-MIN('Tax Tables'!$B$22*(MAX(H596,0)-IF(Calculator!$B$10="Yes",MIN(MAX(H596,0),'Tax Tables'!$B$27)*'Tax Tables'!$B$28+MIN(MAX(MAX(H596,0)-'Tax Tables'!$B$27,0),'Tax Tables'!$B$29)*'Tax Tables'!$B$30,MIN(MAX(H596,0),'Tax Tables'!$B$23)*'Tax Tables'!$B$24+MIN(MAX(MAX(H596,0)-'Tax Tables'!$B$23,0),'Tax Tables'!$B$25)*'Tax Tables'!$B$26))*Calculator!$B$11,Calculator!$B$12)</f>
        <v>8797.5</v>
      </c>
      <c r="J596" s="11" t="n">
        <f aca="false">MAX(H596,0)-I596</f>
        <v>99702.5</v>
      </c>
      <c r="K596" s="11" t="n">
        <f aca="false">MIN(IF(A596&gt;0,Calculator!$B$13,0)+E596+Calculator!$B$14,'Tax Tables'!$B$36)</f>
        <v>1000</v>
      </c>
      <c r="L596" s="11" t="n">
        <f aca="false">MAX(A596-K596,0)</f>
        <v>290500</v>
      </c>
      <c r="M596" s="11" t="n">
        <f aca="false">SUMPRODUCT((L596&gt;'Tax Tables'!$A$5:$A$17)*(L596-'Tax Tables'!$A$5:$A$17)*'Tax Tables'!$C$5:$C$17)</f>
        <v>38650</v>
      </c>
      <c r="N596" s="11" t="n">
        <f aca="false">IF(H596&lt;0,-1E+099,A596-E596-M596+J596+(E596+F596)*Calculator!$B$9)</f>
        <v>352552.5</v>
      </c>
      <c r="O596" s="2"/>
      <c r="P596" s="11" t="n">
        <f aca="false">583*$B$3</f>
        <v>291500</v>
      </c>
      <c r="Q596" s="11" t="n">
        <f aca="false">MIN(P596,'Tax Tables'!$B$31*'Tax Tables'!$B$32)</f>
        <v>96000</v>
      </c>
      <c r="R596" s="11" t="n">
        <f aca="false">P596-Q596</f>
        <v>195500</v>
      </c>
      <c r="S596" s="11" t="n">
        <f aca="false">IF(Calculator!$B$6="Yes",MIN(Q596,'Tax Tables'!$B$31*'Tax Tables'!$B$32),0)</f>
        <v>96000</v>
      </c>
      <c r="T596" s="11" t="n">
        <f aca="false">S596*Calculator!$B$7</f>
        <v>19200</v>
      </c>
      <c r="U596" s="11" t="n">
        <f aca="false">S596*Calculator!$B$8</f>
        <v>16320</v>
      </c>
      <c r="V596" s="11" t="n">
        <f aca="false">IF(Q596&gt;0,'Tax Tables'!$B$32*MIN(MAX(Q596/'Tax Tables'!$B$32*'Tax Tables'!$B$33,'Tax Tables'!$B$34),'Tax Tables'!$B$35),0)</f>
        <v>135</v>
      </c>
      <c r="W596" s="11" t="n">
        <f aca="false">Calculator!$B$5-P596-U596-V596</f>
        <v>92045</v>
      </c>
      <c r="X596" s="11" t="n">
        <f aca="false">'Tax Tables'!$B$22*(MAX(W596,0)-IF(Calculator!$B$10="Yes",MIN(MAX(W596,0),'Tax Tables'!$B$27)*'Tax Tables'!$B$28+MIN(MAX(MAX(W596,0)-'Tax Tables'!$B$27,0),'Tax Tables'!$B$29)*'Tax Tables'!$B$30,MIN(MAX(W596,0),'Tax Tables'!$B$23)*'Tax Tables'!$B$24+MIN(MAX(MAX(W596,0)-'Tax Tables'!$B$23,0),'Tax Tables'!$B$25)*'Tax Tables'!$B$26))*1-MIN('Tax Tables'!$B$22*(MAX(W596,0)-IF(Calculator!$B$10="Yes",MIN(MAX(W596,0),'Tax Tables'!$B$27)*'Tax Tables'!$B$28+MIN(MAX(MAX(W596,0)-'Tax Tables'!$B$27,0),'Tax Tables'!$B$29)*'Tax Tables'!$B$30,MIN(MAX(W596,0),'Tax Tables'!$B$23)*'Tax Tables'!$B$24+MIN(MAX(MAX(W596,0)-'Tax Tables'!$B$23,0),'Tax Tables'!$B$25)*'Tax Tables'!$B$26))*Calculator!$B$11,Calculator!$B$12)</f>
        <v>7398.825</v>
      </c>
      <c r="Y596" s="11" t="n">
        <f aca="false">MAX(W596,0)-X596</f>
        <v>84646.175</v>
      </c>
      <c r="Z596" s="11" t="n">
        <f aca="false">MIN(IF(P596&gt;0,Calculator!$B$13,0)+T596+Calculator!$B$14,'Tax Tables'!$B$36)</f>
        <v>20200</v>
      </c>
      <c r="AA596" s="11" t="n">
        <f aca="false">MAX(P596-Z596,0)</f>
        <v>271300</v>
      </c>
      <c r="AB596" s="11" t="n">
        <f aca="false">SUMPRODUCT((AA596&gt;'Tax Tables'!$A$5:$A$17)*(AA596-'Tax Tables'!$A$5:$A$17)*'Tax Tables'!$C$5:$C$17)</f>
        <v>34853.5</v>
      </c>
      <c r="AC596" s="11" t="n">
        <f aca="false">IF(W596&lt;0,-1E+099,P596-T596-AB596+Y596+(T596+U596)*Calculator!$B$9)</f>
        <v>357612.675</v>
      </c>
    </row>
    <row r="597" customFormat="false" ht="15" hidden="false" customHeight="false" outlineLevel="0" collapsed="false">
      <c r="A597" s="11" t="n">
        <f aca="false">584*$B$3</f>
        <v>292000</v>
      </c>
      <c r="B597" s="11" t="n">
        <f aca="false">0</f>
        <v>0</v>
      </c>
      <c r="C597" s="11" t="n">
        <f aca="false">A597-B597</f>
        <v>292000</v>
      </c>
      <c r="D597" s="11" t="n">
        <f aca="false">IF(Calculator!$B$6="Yes",MIN(B597,'Tax Tables'!$B$31*'Tax Tables'!$B$32),0)</f>
        <v>0</v>
      </c>
      <c r="E597" s="11" t="n">
        <f aca="false">D597*Calculator!$B$7</f>
        <v>0</v>
      </c>
      <c r="F597" s="11" t="n">
        <f aca="false">D597*Calculator!$B$8</f>
        <v>0</v>
      </c>
      <c r="G597" s="11" t="n">
        <f aca="false">IF(B597&gt;0,'Tax Tables'!$B$32*MIN(MAX(B597/'Tax Tables'!$B$32*'Tax Tables'!$B$33,'Tax Tables'!$B$34),'Tax Tables'!$B$35),0)</f>
        <v>0</v>
      </c>
      <c r="H597" s="11" t="n">
        <f aca="false">Calculator!$B$5-A597-F597-G597</f>
        <v>108000</v>
      </c>
      <c r="I597" s="11" t="n">
        <f aca="false">'Tax Tables'!$B$22*(MAX(H597,0)-IF(Calculator!$B$10="Yes",MIN(MAX(H597,0),'Tax Tables'!$B$27)*'Tax Tables'!$B$28+MIN(MAX(MAX(H597,0)-'Tax Tables'!$B$27,0),'Tax Tables'!$B$29)*'Tax Tables'!$B$30,MIN(MAX(H597,0),'Tax Tables'!$B$23)*'Tax Tables'!$B$24+MIN(MAX(MAX(H597,0)-'Tax Tables'!$B$23,0),'Tax Tables'!$B$25)*'Tax Tables'!$B$26))*1-MIN('Tax Tables'!$B$22*(MAX(H597,0)-IF(Calculator!$B$10="Yes",MIN(MAX(H597,0),'Tax Tables'!$B$27)*'Tax Tables'!$B$28+MIN(MAX(MAX(H597,0)-'Tax Tables'!$B$27,0),'Tax Tables'!$B$29)*'Tax Tables'!$B$30,MIN(MAX(H597,0),'Tax Tables'!$B$23)*'Tax Tables'!$B$24+MIN(MAX(MAX(H597,0)-'Tax Tables'!$B$23,0),'Tax Tables'!$B$25)*'Tax Tables'!$B$26))*Calculator!$B$11,Calculator!$B$12)</f>
        <v>8755</v>
      </c>
      <c r="J597" s="11" t="n">
        <f aca="false">MAX(H597,0)-I597</f>
        <v>99245</v>
      </c>
      <c r="K597" s="11" t="n">
        <f aca="false">MIN(IF(A597&gt;0,Calculator!$B$13,0)+E597+Calculator!$B$14,'Tax Tables'!$B$36)</f>
        <v>1000</v>
      </c>
      <c r="L597" s="11" t="n">
        <f aca="false">MAX(A597-K597,0)</f>
        <v>291000</v>
      </c>
      <c r="M597" s="11" t="n">
        <f aca="false">SUMPRODUCT((L597&gt;'Tax Tables'!$A$5:$A$17)*(L597-'Tax Tables'!$A$5:$A$17)*'Tax Tables'!$C$5:$C$17)</f>
        <v>38750</v>
      </c>
      <c r="N597" s="11" t="n">
        <f aca="false">IF(H597&lt;0,-1E+099,A597-E597-M597+J597+(E597+F597)*Calculator!$B$9)</f>
        <v>352495</v>
      </c>
      <c r="O597" s="2"/>
      <c r="P597" s="11" t="n">
        <f aca="false">584*$B$3</f>
        <v>292000</v>
      </c>
      <c r="Q597" s="11" t="n">
        <f aca="false">MIN(P597,'Tax Tables'!$B$31*'Tax Tables'!$B$32)</f>
        <v>96000</v>
      </c>
      <c r="R597" s="11" t="n">
        <f aca="false">P597-Q597</f>
        <v>196000</v>
      </c>
      <c r="S597" s="11" t="n">
        <f aca="false">IF(Calculator!$B$6="Yes",MIN(Q597,'Tax Tables'!$B$31*'Tax Tables'!$B$32),0)</f>
        <v>96000</v>
      </c>
      <c r="T597" s="11" t="n">
        <f aca="false">S597*Calculator!$B$7</f>
        <v>19200</v>
      </c>
      <c r="U597" s="11" t="n">
        <f aca="false">S597*Calculator!$B$8</f>
        <v>16320</v>
      </c>
      <c r="V597" s="11" t="n">
        <f aca="false">IF(Q597&gt;0,'Tax Tables'!$B$32*MIN(MAX(Q597/'Tax Tables'!$B$32*'Tax Tables'!$B$33,'Tax Tables'!$B$34),'Tax Tables'!$B$35),0)</f>
        <v>135</v>
      </c>
      <c r="W597" s="11" t="n">
        <f aca="false">Calculator!$B$5-P597-U597-V597</f>
        <v>91545</v>
      </c>
      <c r="X597" s="11" t="n">
        <f aca="false">'Tax Tables'!$B$22*(MAX(W597,0)-IF(Calculator!$B$10="Yes",MIN(MAX(W597,0),'Tax Tables'!$B$27)*'Tax Tables'!$B$28+MIN(MAX(MAX(W597,0)-'Tax Tables'!$B$27,0),'Tax Tables'!$B$29)*'Tax Tables'!$B$30,MIN(MAX(W597,0),'Tax Tables'!$B$23)*'Tax Tables'!$B$24+MIN(MAX(MAX(W597,0)-'Tax Tables'!$B$23,0),'Tax Tables'!$B$25)*'Tax Tables'!$B$26))*1-MIN('Tax Tables'!$B$22*(MAX(W597,0)-IF(Calculator!$B$10="Yes",MIN(MAX(W597,0),'Tax Tables'!$B$27)*'Tax Tables'!$B$28+MIN(MAX(MAX(W597,0)-'Tax Tables'!$B$27,0),'Tax Tables'!$B$29)*'Tax Tables'!$B$30,MIN(MAX(W597,0),'Tax Tables'!$B$23)*'Tax Tables'!$B$24+MIN(MAX(MAX(W597,0)-'Tax Tables'!$B$23,0),'Tax Tables'!$B$25)*'Tax Tables'!$B$26))*Calculator!$B$11,Calculator!$B$12)</f>
        <v>7356.325</v>
      </c>
      <c r="Y597" s="11" t="n">
        <f aca="false">MAX(W597,0)-X597</f>
        <v>84188.675</v>
      </c>
      <c r="Z597" s="11" t="n">
        <f aca="false">MIN(IF(P597&gt;0,Calculator!$B$13,0)+T597+Calculator!$B$14,'Tax Tables'!$B$36)</f>
        <v>20200</v>
      </c>
      <c r="AA597" s="11" t="n">
        <f aca="false">MAX(P597-Z597,0)</f>
        <v>271800</v>
      </c>
      <c r="AB597" s="11" t="n">
        <f aca="false">SUMPRODUCT((AA597&gt;'Tax Tables'!$A$5:$A$17)*(AA597-'Tax Tables'!$A$5:$A$17)*'Tax Tables'!$C$5:$C$17)</f>
        <v>34951</v>
      </c>
      <c r="AC597" s="11" t="n">
        <f aca="false">IF(W597&lt;0,-1E+099,P597-T597-AB597+Y597+(T597+U597)*Calculator!$B$9)</f>
        <v>357557.675</v>
      </c>
    </row>
    <row r="598" customFormat="false" ht="15" hidden="false" customHeight="false" outlineLevel="0" collapsed="false">
      <c r="A598" s="11" t="n">
        <f aca="false">585*$B$3</f>
        <v>292500</v>
      </c>
      <c r="B598" s="11" t="n">
        <f aca="false">0</f>
        <v>0</v>
      </c>
      <c r="C598" s="11" t="n">
        <f aca="false">A598-B598</f>
        <v>292500</v>
      </c>
      <c r="D598" s="11" t="n">
        <f aca="false">IF(Calculator!$B$6="Yes",MIN(B598,'Tax Tables'!$B$31*'Tax Tables'!$B$32),0)</f>
        <v>0</v>
      </c>
      <c r="E598" s="11" t="n">
        <f aca="false">D598*Calculator!$B$7</f>
        <v>0</v>
      </c>
      <c r="F598" s="11" t="n">
        <f aca="false">D598*Calculator!$B$8</f>
        <v>0</v>
      </c>
      <c r="G598" s="11" t="n">
        <f aca="false">IF(B598&gt;0,'Tax Tables'!$B$32*MIN(MAX(B598/'Tax Tables'!$B$32*'Tax Tables'!$B$33,'Tax Tables'!$B$34),'Tax Tables'!$B$35),0)</f>
        <v>0</v>
      </c>
      <c r="H598" s="11" t="n">
        <f aca="false">Calculator!$B$5-A598-F598-G598</f>
        <v>107500</v>
      </c>
      <c r="I598" s="11" t="n">
        <f aca="false">'Tax Tables'!$B$22*(MAX(H598,0)-IF(Calculator!$B$10="Yes",MIN(MAX(H598,0),'Tax Tables'!$B$27)*'Tax Tables'!$B$28+MIN(MAX(MAX(H598,0)-'Tax Tables'!$B$27,0),'Tax Tables'!$B$29)*'Tax Tables'!$B$30,MIN(MAX(H598,0),'Tax Tables'!$B$23)*'Tax Tables'!$B$24+MIN(MAX(MAX(H598,0)-'Tax Tables'!$B$23,0),'Tax Tables'!$B$25)*'Tax Tables'!$B$26))*1-MIN('Tax Tables'!$B$22*(MAX(H598,0)-IF(Calculator!$B$10="Yes",MIN(MAX(H598,0),'Tax Tables'!$B$27)*'Tax Tables'!$B$28+MIN(MAX(MAX(H598,0)-'Tax Tables'!$B$27,0),'Tax Tables'!$B$29)*'Tax Tables'!$B$30,MIN(MAX(H598,0),'Tax Tables'!$B$23)*'Tax Tables'!$B$24+MIN(MAX(MAX(H598,0)-'Tax Tables'!$B$23,0),'Tax Tables'!$B$25)*'Tax Tables'!$B$26))*Calculator!$B$11,Calculator!$B$12)</f>
        <v>8712.5</v>
      </c>
      <c r="J598" s="11" t="n">
        <f aca="false">MAX(H598,0)-I598</f>
        <v>98787.5</v>
      </c>
      <c r="K598" s="11" t="n">
        <f aca="false">MIN(IF(A598&gt;0,Calculator!$B$13,0)+E598+Calculator!$B$14,'Tax Tables'!$B$36)</f>
        <v>1000</v>
      </c>
      <c r="L598" s="11" t="n">
        <f aca="false">MAX(A598-K598,0)</f>
        <v>291500</v>
      </c>
      <c r="M598" s="11" t="n">
        <f aca="false">SUMPRODUCT((L598&gt;'Tax Tables'!$A$5:$A$17)*(L598-'Tax Tables'!$A$5:$A$17)*'Tax Tables'!$C$5:$C$17)</f>
        <v>38850</v>
      </c>
      <c r="N598" s="11" t="n">
        <f aca="false">IF(H598&lt;0,-1E+099,A598-E598-M598+J598+(E598+F598)*Calculator!$B$9)</f>
        <v>352437.5</v>
      </c>
      <c r="O598" s="2"/>
      <c r="P598" s="11" t="n">
        <f aca="false">585*$B$3</f>
        <v>292500</v>
      </c>
      <c r="Q598" s="11" t="n">
        <f aca="false">MIN(P598,'Tax Tables'!$B$31*'Tax Tables'!$B$32)</f>
        <v>96000</v>
      </c>
      <c r="R598" s="11" t="n">
        <f aca="false">P598-Q598</f>
        <v>196500</v>
      </c>
      <c r="S598" s="11" t="n">
        <f aca="false">IF(Calculator!$B$6="Yes",MIN(Q598,'Tax Tables'!$B$31*'Tax Tables'!$B$32),0)</f>
        <v>96000</v>
      </c>
      <c r="T598" s="11" t="n">
        <f aca="false">S598*Calculator!$B$7</f>
        <v>19200</v>
      </c>
      <c r="U598" s="11" t="n">
        <f aca="false">S598*Calculator!$B$8</f>
        <v>16320</v>
      </c>
      <c r="V598" s="11" t="n">
        <f aca="false">IF(Q598&gt;0,'Tax Tables'!$B$32*MIN(MAX(Q598/'Tax Tables'!$B$32*'Tax Tables'!$B$33,'Tax Tables'!$B$34),'Tax Tables'!$B$35),0)</f>
        <v>135</v>
      </c>
      <c r="W598" s="11" t="n">
        <f aca="false">Calculator!$B$5-P598-U598-V598</f>
        <v>91045</v>
      </c>
      <c r="X598" s="11" t="n">
        <f aca="false">'Tax Tables'!$B$22*(MAX(W598,0)-IF(Calculator!$B$10="Yes",MIN(MAX(W598,0),'Tax Tables'!$B$27)*'Tax Tables'!$B$28+MIN(MAX(MAX(W598,0)-'Tax Tables'!$B$27,0),'Tax Tables'!$B$29)*'Tax Tables'!$B$30,MIN(MAX(W598,0),'Tax Tables'!$B$23)*'Tax Tables'!$B$24+MIN(MAX(MAX(W598,0)-'Tax Tables'!$B$23,0),'Tax Tables'!$B$25)*'Tax Tables'!$B$26))*1-MIN('Tax Tables'!$B$22*(MAX(W598,0)-IF(Calculator!$B$10="Yes",MIN(MAX(W598,0),'Tax Tables'!$B$27)*'Tax Tables'!$B$28+MIN(MAX(MAX(W598,0)-'Tax Tables'!$B$27,0),'Tax Tables'!$B$29)*'Tax Tables'!$B$30,MIN(MAX(W598,0),'Tax Tables'!$B$23)*'Tax Tables'!$B$24+MIN(MAX(MAX(W598,0)-'Tax Tables'!$B$23,0),'Tax Tables'!$B$25)*'Tax Tables'!$B$26))*Calculator!$B$11,Calculator!$B$12)</f>
        <v>7313.825</v>
      </c>
      <c r="Y598" s="11" t="n">
        <f aca="false">MAX(W598,0)-X598</f>
        <v>83731.175</v>
      </c>
      <c r="Z598" s="11" t="n">
        <f aca="false">MIN(IF(P598&gt;0,Calculator!$B$13,0)+T598+Calculator!$B$14,'Tax Tables'!$B$36)</f>
        <v>20200</v>
      </c>
      <c r="AA598" s="11" t="n">
        <f aca="false">MAX(P598-Z598,0)</f>
        <v>272300</v>
      </c>
      <c r="AB598" s="11" t="n">
        <f aca="false">SUMPRODUCT((AA598&gt;'Tax Tables'!$A$5:$A$17)*(AA598-'Tax Tables'!$A$5:$A$17)*'Tax Tables'!$C$5:$C$17)</f>
        <v>35048.5</v>
      </c>
      <c r="AC598" s="11" t="n">
        <f aca="false">IF(W598&lt;0,-1E+099,P598-T598-AB598+Y598+(T598+U598)*Calculator!$B$9)</f>
        <v>357502.675</v>
      </c>
    </row>
    <row r="599" customFormat="false" ht="15" hidden="false" customHeight="false" outlineLevel="0" collapsed="false">
      <c r="A599" s="11" t="n">
        <f aca="false">586*$B$3</f>
        <v>293000</v>
      </c>
      <c r="B599" s="11" t="n">
        <f aca="false">0</f>
        <v>0</v>
      </c>
      <c r="C599" s="11" t="n">
        <f aca="false">A599-B599</f>
        <v>293000</v>
      </c>
      <c r="D599" s="11" t="n">
        <f aca="false">IF(Calculator!$B$6="Yes",MIN(B599,'Tax Tables'!$B$31*'Tax Tables'!$B$32),0)</f>
        <v>0</v>
      </c>
      <c r="E599" s="11" t="n">
        <f aca="false">D599*Calculator!$B$7</f>
        <v>0</v>
      </c>
      <c r="F599" s="11" t="n">
        <f aca="false">D599*Calculator!$B$8</f>
        <v>0</v>
      </c>
      <c r="G599" s="11" t="n">
        <f aca="false">IF(B599&gt;0,'Tax Tables'!$B$32*MIN(MAX(B599/'Tax Tables'!$B$32*'Tax Tables'!$B$33,'Tax Tables'!$B$34),'Tax Tables'!$B$35),0)</f>
        <v>0</v>
      </c>
      <c r="H599" s="11" t="n">
        <f aca="false">Calculator!$B$5-A599-F599-G599</f>
        <v>107000</v>
      </c>
      <c r="I599" s="11" t="n">
        <f aca="false">'Tax Tables'!$B$22*(MAX(H599,0)-IF(Calculator!$B$10="Yes",MIN(MAX(H599,0),'Tax Tables'!$B$27)*'Tax Tables'!$B$28+MIN(MAX(MAX(H599,0)-'Tax Tables'!$B$27,0),'Tax Tables'!$B$29)*'Tax Tables'!$B$30,MIN(MAX(H599,0),'Tax Tables'!$B$23)*'Tax Tables'!$B$24+MIN(MAX(MAX(H599,0)-'Tax Tables'!$B$23,0),'Tax Tables'!$B$25)*'Tax Tables'!$B$26))*1-MIN('Tax Tables'!$B$22*(MAX(H599,0)-IF(Calculator!$B$10="Yes",MIN(MAX(H599,0),'Tax Tables'!$B$27)*'Tax Tables'!$B$28+MIN(MAX(MAX(H599,0)-'Tax Tables'!$B$27,0),'Tax Tables'!$B$29)*'Tax Tables'!$B$30,MIN(MAX(H599,0),'Tax Tables'!$B$23)*'Tax Tables'!$B$24+MIN(MAX(MAX(H599,0)-'Tax Tables'!$B$23,0),'Tax Tables'!$B$25)*'Tax Tables'!$B$26))*Calculator!$B$11,Calculator!$B$12)</f>
        <v>8670</v>
      </c>
      <c r="J599" s="11" t="n">
        <f aca="false">MAX(H599,0)-I599</f>
        <v>98330</v>
      </c>
      <c r="K599" s="11" t="n">
        <f aca="false">MIN(IF(A599&gt;0,Calculator!$B$13,0)+E599+Calculator!$B$14,'Tax Tables'!$B$36)</f>
        <v>1000</v>
      </c>
      <c r="L599" s="11" t="n">
        <f aca="false">MAX(A599-K599,0)</f>
        <v>292000</v>
      </c>
      <c r="M599" s="11" t="n">
        <f aca="false">SUMPRODUCT((L599&gt;'Tax Tables'!$A$5:$A$17)*(L599-'Tax Tables'!$A$5:$A$17)*'Tax Tables'!$C$5:$C$17)</f>
        <v>38950</v>
      </c>
      <c r="N599" s="11" t="n">
        <f aca="false">IF(H599&lt;0,-1E+099,A599-E599-M599+J599+(E599+F599)*Calculator!$B$9)</f>
        <v>352380</v>
      </c>
      <c r="O599" s="2"/>
      <c r="P599" s="11" t="n">
        <f aca="false">586*$B$3</f>
        <v>293000</v>
      </c>
      <c r="Q599" s="11" t="n">
        <f aca="false">MIN(P599,'Tax Tables'!$B$31*'Tax Tables'!$B$32)</f>
        <v>96000</v>
      </c>
      <c r="R599" s="11" t="n">
        <f aca="false">P599-Q599</f>
        <v>197000</v>
      </c>
      <c r="S599" s="11" t="n">
        <f aca="false">IF(Calculator!$B$6="Yes",MIN(Q599,'Tax Tables'!$B$31*'Tax Tables'!$B$32),0)</f>
        <v>96000</v>
      </c>
      <c r="T599" s="11" t="n">
        <f aca="false">S599*Calculator!$B$7</f>
        <v>19200</v>
      </c>
      <c r="U599" s="11" t="n">
        <f aca="false">S599*Calculator!$B$8</f>
        <v>16320</v>
      </c>
      <c r="V599" s="11" t="n">
        <f aca="false">IF(Q599&gt;0,'Tax Tables'!$B$32*MIN(MAX(Q599/'Tax Tables'!$B$32*'Tax Tables'!$B$33,'Tax Tables'!$B$34),'Tax Tables'!$B$35),0)</f>
        <v>135</v>
      </c>
      <c r="W599" s="11" t="n">
        <f aca="false">Calculator!$B$5-P599-U599-V599</f>
        <v>90545</v>
      </c>
      <c r="X599" s="11" t="n">
        <f aca="false">'Tax Tables'!$B$22*(MAX(W599,0)-IF(Calculator!$B$10="Yes",MIN(MAX(W599,0),'Tax Tables'!$B$27)*'Tax Tables'!$B$28+MIN(MAX(MAX(W599,0)-'Tax Tables'!$B$27,0),'Tax Tables'!$B$29)*'Tax Tables'!$B$30,MIN(MAX(W599,0),'Tax Tables'!$B$23)*'Tax Tables'!$B$24+MIN(MAX(MAX(W599,0)-'Tax Tables'!$B$23,0),'Tax Tables'!$B$25)*'Tax Tables'!$B$26))*1-MIN('Tax Tables'!$B$22*(MAX(W599,0)-IF(Calculator!$B$10="Yes",MIN(MAX(W599,0),'Tax Tables'!$B$27)*'Tax Tables'!$B$28+MIN(MAX(MAX(W599,0)-'Tax Tables'!$B$27,0),'Tax Tables'!$B$29)*'Tax Tables'!$B$30,MIN(MAX(W599,0),'Tax Tables'!$B$23)*'Tax Tables'!$B$24+MIN(MAX(MAX(W599,0)-'Tax Tables'!$B$23,0),'Tax Tables'!$B$25)*'Tax Tables'!$B$26))*Calculator!$B$11,Calculator!$B$12)</f>
        <v>7271.325</v>
      </c>
      <c r="Y599" s="11" t="n">
        <f aca="false">MAX(W599,0)-X599</f>
        <v>83273.675</v>
      </c>
      <c r="Z599" s="11" t="n">
        <f aca="false">MIN(IF(P599&gt;0,Calculator!$B$13,0)+T599+Calculator!$B$14,'Tax Tables'!$B$36)</f>
        <v>20200</v>
      </c>
      <c r="AA599" s="11" t="n">
        <f aca="false">MAX(P599-Z599,0)</f>
        <v>272800</v>
      </c>
      <c r="AB599" s="11" t="n">
        <f aca="false">SUMPRODUCT((AA599&gt;'Tax Tables'!$A$5:$A$17)*(AA599-'Tax Tables'!$A$5:$A$17)*'Tax Tables'!$C$5:$C$17)</f>
        <v>35146</v>
      </c>
      <c r="AC599" s="11" t="n">
        <f aca="false">IF(W599&lt;0,-1E+099,P599-T599-AB599+Y599+(T599+U599)*Calculator!$B$9)</f>
        <v>357447.675</v>
      </c>
    </row>
    <row r="600" customFormat="false" ht="15" hidden="false" customHeight="false" outlineLevel="0" collapsed="false">
      <c r="A600" s="11" t="n">
        <f aca="false">587*$B$3</f>
        <v>293500</v>
      </c>
      <c r="B600" s="11" t="n">
        <f aca="false">0</f>
        <v>0</v>
      </c>
      <c r="C600" s="11" t="n">
        <f aca="false">A600-B600</f>
        <v>293500</v>
      </c>
      <c r="D600" s="11" t="n">
        <f aca="false">IF(Calculator!$B$6="Yes",MIN(B600,'Tax Tables'!$B$31*'Tax Tables'!$B$32),0)</f>
        <v>0</v>
      </c>
      <c r="E600" s="11" t="n">
        <f aca="false">D600*Calculator!$B$7</f>
        <v>0</v>
      </c>
      <c r="F600" s="11" t="n">
        <f aca="false">D600*Calculator!$B$8</f>
        <v>0</v>
      </c>
      <c r="G600" s="11" t="n">
        <f aca="false">IF(B600&gt;0,'Tax Tables'!$B$32*MIN(MAX(B600/'Tax Tables'!$B$32*'Tax Tables'!$B$33,'Tax Tables'!$B$34),'Tax Tables'!$B$35),0)</f>
        <v>0</v>
      </c>
      <c r="H600" s="11" t="n">
        <f aca="false">Calculator!$B$5-A600-F600-G600</f>
        <v>106500</v>
      </c>
      <c r="I600" s="11" t="n">
        <f aca="false">'Tax Tables'!$B$22*(MAX(H600,0)-IF(Calculator!$B$10="Yes",MIN(MAX(H600,0),'Tax Tables'!$B$27)*'Tax Tables'!$B$28+MIN(MAX(MAX(H600,0)-'Tax Tables'!$B$27,0),'Tax Tables'!$B$29)*'Tax Tables'!$B$30,MIN(MAX(H600,0),'Tax Tables'!$B$23)*'Tax Tables'!$B$24+MIN(MAX(MAX(H600,0)-'Tax Tables'!$B$23,0),'Tax Tables'!$B$25)*'Tax Tables'!$B$26))*1-MIN('Tax Tables'!$B$22*(MAX(H600,0)-IF(Calculator!$B$10="Yes",MIN(MAX(H600,0),'Tax Tables'!$B$27)*'Tax Tables'!$B$28+MIN(MAX(MAX(H600,0)-'Tax Tables'!$B$27,0),'Tax Tables'!$B$29)*'Tax Tables'!$B$30,MIN(MAX(H600,0),'Tax Tables'!$B$23)*'Tax Tables'!$B$24+MIN(MAX(MAX(H600,0)-'Tax Tables'!$B$23,0),'Tax Tables'!$B$25)*'Tax Tables'!$B$26))*Calculator!$B$11,Calculator!$B$12)</f>
        <v>8627.5</v>
      </c>
      <c r="J600" s="11" t="n">
        <f aca="false">MAX(H600,0)-I600</f>
        <v>97872.5</v>
      </c>
      <c r="K600" s="11" t="n">
        <f aca="false">MIN(IF(A600&gt;0,Calculator!$B$13,0)+E600+Calculator!$B$14,'Tax Tables'!$B$36)</f>
        <v>1000</v>
      </c>
      <c r="L600" s="11" t="n">
        <f aca="false">MAX(A600-K600,0)</f>
        <v>292500</v>
      </c>
      <c r="M600" s="11" t="n">
        <f aca="false">SUMPRODUCT((L600&gt;'Tax Tables'!$A$5:$A$17)*(L600-'Tax Tables'!$A$5:$A$17)*'Tax Tables'!$C$5:$C$17)</f>
        <v>39050</v>
      </c>
      <c r="N600" s="11" t="n">
        <f aca="false">IF(H600&lt;0,-1E+099,A600-E600-M600+J600+(E600+F600)*Calculator!$B$9)</f>
        <v>352322.5</v>
      </c>
      <c r="O600" s="2"/>
      <c r="P600" s="11" t="n">
        <f aca="false">587*$B$3</f>
        <v>293500</v>
      </c>
      <c r="Q600" s="11" t="n">
        <f aca="false">MIN(P600,'Tax Tables'!$B$31*'Tax Tables'!$B$32)</f>
        <v>96000</v>
      </c>
      <c r="R600" s="11" t="n">
        <f aca="false">P600-Q600</f>
        <v>197500</v>
      </c>
      <c r="S600" s="11" t="n">
        <f aca="false">IF(Calculator!$B$6="Yes",MIN(Q600,'Tax Tables'!$B$31*'Tax Tables'!$B$32),0)</f>
        <v>96000</v>
      </c>
      <c r="T600" s="11" t="n">
        <f aca="false">S600*Calculator!$B$7</f>
        <v>19200</v>
      </c>
      <c r="U600" s="11" t="n">
        <f aca="false">S600*Calculator!$B$8</f>
        <v>16320</v>
      </c>
      <c r="V600" s="11" t="n">
        <f aca="false">IF(Q600&gt;0,'Tax Tables'!$B$32*MIN(MAX(Q600/'Tax Tables'!$B$32*'Tax Tables'!$B$33,'Tax Tables'!$B$34),'Tax Tables'!$B$35),0)</f>
        <v>135</v>
      </c>
      <c r="W600" s="11" t="n">
        <f aca="false">Calculator!$B$5-P600-U600-V600</f>
        <v>90045</v>
      </c>
      <c r="X600" s="11" t="n">
        <f aca="false">'Tax Tables'!$B$22*(MAX(W600,0)-IF(Calculator!$B$10="Yes",MIN(MAX(W600,0),'Tax Tables'!$B$27)*'Tax Tables'!$B$28+MIN(MAX(MAX(W600,0)-'Tax Tables'!$B$27,0),'Tax Tables'!$B$29)*'Tax Tables'!$B$30,MIN(MAX(W600,0),'Tax Tables'!$B$23)*'Tax Tables'!$B$24+MIN(MAX(MAX(W600,0)-'Tax Tables'!$B$23,0),'Tax Tables'!$B$25)*'Tax Tables'!$B$26))*1-MIN('Tax Tables'!$B$22*(MAX(W600,0)-IF(Calculator!$B$10="Yes",MIN(MAX(W600,0),'Tax Tables'!$B$27)*'Tax Tables'!$B$28+MIN(MAX(MAX(W600,0)-'Tax Tables'!$B$27,0),'Tax Tables'!$B$29)*'Tax Tables'!$B$30,MIN(MAX(W600,0),'Tax Tables'!$B$23)*'Tax Tables'!$B$24+MIN(MAX(MAX(W600,0)-'Tax Tables'!$B$23,0),'Tax Tables'!$B$25)*'Tax Tables'!$B$26))*Calculator!$B$11,Calculator!$B$12)</f>
        <v>7228.825</v>
      </c>
      <c r="Y600" s="11" t="n">
        <f aca="false">MAX(W600,0)-X600</f>
        <v>82816.175</v>
      </c>
      <c r="Z600" s="11" t="n">
        <f aca="false">MIN(IF(P600&gt;0,Calculator!$B$13,0)+T600+Calculator!$B$14,'Tax Tables'!$B$36)</f>
        <v>20200</v>
      </c>
      <c r="AA600" s="11" t="n">
        <f aca="false">MAX(P600-Z600,0)</f>
        <v>273300</v>
      </c>
      <c r="AB600" s="11" t="n">
        <f aca="false">SUMPRODUCT((AA600&gt;'Tax Tables'!$A$5:$A$17)*(AA600-'Tax Tables'!$A$5:$A$17)*'Tax Tables'!$C$5:$C$17)</f>
        <v>35243.5</v>
      </c>
      <c r="AC600" s="11" t="n">
        <f aca="false">IF(W600&lt;0,-1E+099,P600-T600-AB600+Y600+(T600+U600)*Calculator!$B$9)</f>
        <v>357392.675</v>
      </c>
    </row>
    <row r="601" customFormat="false" ht="15" hidden="false" customHeight="false" outlineLevel="0" collapsed="false">
      <c r="A601" s="11" t="n">
        <f aca="false">588*$B$3</f>
        <v>294000</v>
      </c>
      <c r="B601" s="11" t="n">
        <f aca="false">0</f>
        <v>0</v>
      </c>
      <c r="C601" s="11" t="n">
        <f aca="false">A601-B601</f>
        <v>294000</v>
      </c>
      <c r="D601" s="11" t="n">
        <f aca="false">IF(Calculator!$B$6="Yes",MIN(B601,'Tax Tables'!$B$31*'Tax Tables'!$B$32),0)</f>
        <v>0</v>
      </c>
      <c r="E601" s="11" t="n">
        <f aca="false">D601*Calculator!$B$7</f>
        <v>0</v>
      </c>
      <c r="F601" s="11" t="n">
        <f aca="false">D601*Calculator!$B$8</f>
        <v>0</v>
      </c>
      <c r="G601" s="11" t="n">
        <f aca="false">IF(B601&gt;0,'Tax Tables'!$B$32*MIN(MAX(B601/'Tax Tables'!$B$32*'Tax Tables'!$B$33,'Tax Tables'!$B$34),'Tax Tables'!$B$35),0)</f>
        <v>0</v>
      </c>
      <c r="H601" s="11" t="n">
        <f aca="false">Calculator!$B$5-A601-F601-G601</f>
        <v>106000</v>
      </c>
      <c r="I601" s="11" t="n">
        <f aca="false">'Tax Tables'!$B$22*(MAX(H601,0)-IF(Calculator!$B$10="Yes",MIN(MAX(H601,0),'Tax Tables'!$B$27)*'Tax Tables'!$B$28+MIN(MAX(MAX(H601,0)-'Tax Tables'!$B$27,0),'Tax Tables'!$B$29)*'Tax Tables'!$B$30,MIN(MAX(H601,0),'Tax Tables'!$B$23)*'Tax Tables'!$B$24+MIN(MAX(MAX(H601,0)-'Tax Tables'!$B$23,0),'Tax Tables'!$B$25)*'Tax Tables'!$B$26))*1-MIN('Tax Tables'!$B$22*(MAX(H601,0)-IF(Calculator!$B$10="Yes",MIN(MAX(H601,0),'Tax Tables'!$B$27)*'Tax Tables'!$B$28+MIN(MAX(MAX(H601,0)-'Tax Tables'!$B$27,0),'Tax Tables'!$B$29)*'Tax Tables'!$B$30,MIN(MAX(H601,0),'Tax Tables'!$B$23)*'Tax Tables'!$B$24+MIN(MAX(MAX(H601,0)-'Tax Tables'!$B$23,0),'Tax Tables'!$B$25)*'Tax Tables'!$B$26))*Calculator!$B$11,Calculator!$B$12)</f>
        <v>8585</v>
      </c>
      <c r="J601" s="11" t="n">
        <f aca="false">MAX(H601,0)-I601</f>
        <v>97415</v>
      </c>
      <c r="K601" s="11" t="n">
        <f aca="false">MIN(IF(A601&gt;0,Calculator!$B$13,0)+E601+Calculator!$B$14,'Tax Tables'!$B$36)</f>
        <v>1000</v>
      </c>
      <c r="L601" s="11" t="n">
        <f aca="false">MAX(A601-K601,0)</f>
        <v>293000</v>
      </c>
      <c r="M601" s="11" t="n">
        <f aca="false">SUMPRODUCT((L601&gt;'Tax Tables'!$A$5:$A$17)*(L601-'Tax Tables'!$A$5:$A$17)*'Tax Tables'!$C$5:$C$17)</f>
        <v>39150</v>
      </c>
      <c r="N601" s="11" t="n">
        <f aca="false">IF(H601&lt;0,-1E+099,A601-E601-M601+J601+(E601+F601)*Calculator!$B$9)</f>
        <v>352265</v>
      </c>
      <c r="O601" s="2"/>
      <c r="P601" s="11" t="n">
        <f aca="false">588*$B$3</f>
        <v>294000</v>
      </c>
      <c r="Q601" s="11" t="n">
        <f aca="false">MIN(P601,'Tax Tables'!$B$31*'Tax Tables'!$B$32)</f>
        <v>96000</v>
      </c>
      <c r="R601" s="11" t="n">
        <f aca="false">P601-Q601</f>
        <v>198000</v>
      </c>
      <c r="S601" s="11" t="n">
        <f aca="false">IF(Calculator!$B$6="Yes",MIN(Q601,'Tax Tables'!$B$31*'Tax Tables'!$B$32),0)</f>
        <v>96000</v>
      </c>
      <c r="T601" s="11" t="n">
        <f aca="false">S601*Calculator!$B$7</f>
        <v>19200</v>
      </c>
      <c r="U601" s="11" t="n">
        <f aca="false">S601*Calculator!$B$8</f>
        <v>16320</v>
      </c>
      <c r="V601" s="11" t="n">
        <f aca="false">IF(Q601&gt;0,'Tax Tables'!$B$32*MIN(MAX(Q601/'Tax Tables'!$B$32*'Tax Tables'!$B$33,'Tax Tables'!$B$34),'Tax Tables'!$B$35),0)</f>
        <v>135</v>
      </c>
      <c r="W601" s="11" t="n">
        <f aca="false">Calculator!$B$5-P601-U601-V601</f>
        <v>89545</v>
      </c>
      <c r="X601" s="11" t="n">
        <f aca="false">'Tax Tables'!$B$22*(MAX(W601,0)-IF(Calculator!$B$10="Yes",MIN(MAX(W601,0),'Tax Tables'!$B$27)*'Tax Tables'!$B$28+MIN(MAX(MAX(W601,0)-'Tax Tables'!$B$27,0),'Tax Tables'!$B$29)*'Tax Tables'!$B$30,MIN(MAX(W601,0),'Tax Tables'!$B$23)*'Tax Tables'!$B$24+MIN(MAX(MAX(W601,0)-'Tax Tables'!$B$23,0),'Tax Tables'!$B$25)*'Tax Tables'!$B$26))*1-MIN('Tax Tables'!$B$22*(MAX(W601,0)-IF(Calculator!$B$10="Yes",MIN(MAX(W601,0),'Tax Tables'!$B$27)*'Tax Tables'!$B$28+MIN(MAX(MAX(W601,0)-'Tax Tables'!$B$27,0),'Tax Tables'!$B$29)*'Tax Tables'!$B$30,MIN(MAX(W601,0),'Tax Tables'!$B$23)*'Tax Tables'!$B$24+MIN(MAX(MAX(W601,0)-'Tax Tables'!$B$23,0),'Tax Tables'!$B$25)*'Tax Tables'!$B$26))*Calculator!$B$11,Calculator!$B$12)</f>
        <v>7186.325</v>
      </c>
      <c r="Y601" s="11" t="n">
        <f aca="false">MAX(W601,0)-X601</f>
        <v>82358.675</v>
      </c>
      <c r="Z601" s="11" t="n">
        <f aca="false">MIN(IF(P601&gt;0,Calculator!$B$13,0)+T601+Calculator!$B$14,'Tax Tables'!$B$36)</f>
        <v>20200</v>
      </c>
      <c r="AA601" s="11" t="n">
        <f aca="false">MAX(P601-Z601,0)</f>
        <v>273800</v>
      </c>
      <c r="AB601" s="11" t="n">
        <f aca="false">SUMPRODUCT((AA601&gt;'Tax Tables'!$A$5:$A$17)*(AA601-'Tax Tables'!$A$5:$A$17)*'Tax Tables'!$C$5:$C$17)</f>
        <v>35341</v>
      </c>
      <c r="AC601" s="11" t="n">
        <f aca="false">IF(W601&lt;0,-1E+099,P601-T601-AB601+Y601+(T601+U601)*Calculator!$B$9)</f>
        <v>357337.675</v>
      </c>
    </row>
    <row r="602" customFormat="false" ht="15" hidden="false" customHeight="false" outlineLevel="0" collapsed="false">
      <c r="A602" s="11" t="n">
        <f aca="false">589*$B$3</f>
        <v>294500</v>
      </c>
      <c r="B602" s="11" t="n">
        <f aca="false">0</f>
        <v>0</v>
      </c>
      <c r="C602" s="11" t="n">
        <f aca="false">A602-B602</f>
        <v>294500</v>
      </c>
      <c r="D602" s="11" t="n">
        <f aca="false">IF(Calculator!$B$6="Yes",MIN(B602,'Tax Tables'!$B$31*'Tax Tables'!$B$32),0)</f>
        <v>0</v>
      </c>
      <c r="E602" s="11" t="n">
        <f aca="false">D602*Calculator!$B$7</f>
        <v>0</v>
      </c>
      <c r="F602" s="11" t="n">
        <f aca="false">D602*Calculator!$B$8</f>
        <v>0</v>
      </c>
      <c r="G602" s="11" t="n">
        <f aca="false">IF(B602&gt;0,'Tax Tables'!$B$32*MIN(MAX(B602/'Tax Tables'!$B$32*'Tax Tables'!$B$33,'Tax Tables'!$B$34),'Tax Tables'!$B$35),0)</f>
        <v>0</v>
      </c>
      <c r="H602" s="11" t="n">
        <f aca="false">Calculator!$B$5-A602-F602-G602</f>
        <v>105500</v>
      </c>
      <c r="I602" s="11" t="n">
        <f aca="false">'Tax Tables'!$B$22*(MAX(H602,0)-IF(Calculator!$B$10="Yes",MIN(MAX(H602,0),'Tax Tables'!$B$27)*'Tax Tables'!$B$28+MIN(MAX(MAX(H602,0)-'Tax Tables'!$B$27,0),'Tax Tables'!$B$29)*'Tax Tables'!$B$30,MIN(MAX(H602,0),'Tax Tables'!$B$23)*'Tax Tables'!$B$24+MIN(MAX(MAX(H602,0)-'Tax Tables'!$B$23,0),'Tax Tables'!$B$25)*'Tax Tables'!$B$26))*1-MIN('Tax Tables'!$B$22*(MAX(H602,0)-IF(Calculator!$B$10="Yes",MIN(MAX(H602,0),'Tax Tables'!$B$27)*'Tax Tables'!$B$28+MIN(MAX(MAX(H602,0)-'Tax Tables'!$B$27,0),'Tax Tables'!$B$29)*'Tax Tables'!$B$30,MIN(MAX(H602,0),'Tax Tables'!$B$23)*'Tax Tables'!$B$24+MIN(MAX(MAX(H602,0)-'Tax Tables'!$B$23,0),'Tax Tables'!$B$25)*'Tax Tables'!$B$26))*Calculator!$B$11,Calculator!$B$12)</f>
        <v>8542.5</v>
      </c>
      <c r="J602" s="11" t="n">
        <f aca="false">MAX(H602,0)-I602</f>
        <v>96957.5</v>
      </c>
      <c r="K602" s="11" t="n">
        <f aca="false">MIN(IF(A602&gt;0,Calculator!$B$13,0)+E602+Calculator!$B$14,'Tax Tables'!$B$36)</f>
        <v>1000</v>
      </c>
      <c r="L602" s="11" t="n">
        <f aca="false">MAX(A602-K602,0)</f>
        <v>293500</v>
      </c>
      <c r="M602" s="11" t="n">
        <f aca="false">SUMPRODUCT((L602&gt;'Tax Tables'!$A$5:$A$17)*(L602-'Tax Tables'!$A$5:$A$17)*'Tax Tables'!$C$5:$C$17)</f>
        <v>39250</v>
      </c>
      <c r="N602" s="11" t="n">
        <f aca="false">IF(H602&lt;0,-1E+099,A602-E602-M602+J602+(E602+F602)*Calculator!$B$9)</f>
        <v>352207.5</v>
      </c>
      <c r="O602" s="2"/>
      <c r="P602" s="11" t="n">
        <f aca="false">589*$B$3</f>
        <v>294500</v>
      </c>
      <c r="Q602" s="11" t="n">
        <f aca="false">MIN(P602,'Tax Tables'!$B$31*'Tax Tables'!$B$32)</f>
        <v>96000</v>
      </c>
      <c r="R602" s="11" t="n">
        <f aca="false">P602-Q602</f>
        <v>198500</v>
      </c>
      <c r="S602" s="11" t="n">
        <f aca="false">IF(Calculator!$B$6="Yes",MIN(Q602,'Tax Tables'!$B$31*'Tax Tables'!$B$32),0)</f>
        <v>96000</v>
      </c>
      <c r="T602" s="11" t="n">
        <f aca="false">S602*Calculator!$B$7</f>
        <v>19200</v>
      </c>
      <c r="U602" s="11" t="n">
        <f aca="false">S602*Calculator!$B$8</f>
        <v>16320</v>
      </c>
      <c r="V602" s="11" t="n">
        <f aca="false">IF(Q602&gt;0,'Tax Tables'!$B$32*MIN(MAX(Q602/'Tax Tables'!$B$32*'Tax Tables'!$B$33,'Tax Tables'!$B$34),'Tax Tables'!$B$35),0)</f>
        <v>135</v>
      </c>
      <c r="W602" s="11" t="n">
        <f aca="false">Calculator!$B$5-P602-U602-V602</f>
        <v>89045</v>
      </c>
      <c r="X602" s="11" t="n">
        <f aca="false">'Tax Tables'!$B$22*(MAX(W602,0)-IF(Calculator!$B$10="Yes",MIN(MAX(W602,0),'Tax Tables'!$B$27)*'Tax Tables'!$B$28+MIN(MAX(MAX(W602,0)-'Tax Tables'!$B$27,0),'Tax Tables'!$B$29)*'Tax Tables'!$B$30,MIN(MAX(W602,0),'Tax Tables'!$B$23)*'Tax Tables'!$B$24+MIN(MAX(MAX(W602,0)-'Tax Tables'!$B$23,0),'Tax Tables'!$B$25)*'Tax Tables'!$B$26))*1-MIN('Tax Tables'!$B$22*(MAX(W602,0)-IF(Calculator!$B$10="Yes",MIN(MAX(W602,0),'Tax Tables'!$B$27)*'Tax Tables'!$B$28+MIN(MAX(MAX(W602,0)-'Tax Tables'!$B$27,0),'Tax Tables'!$B$29)*'Tax Tables'!$B$30,MIN(MAX(W602,0),'Tax Tables'!$B$23)*'Tax Tables'!$B$24+MIN(MAX(MAX(W602,0)-'Tax Tables'!$B$23,0),'Tax Tables'!$B$25)*'Tax Tables'!$B$26))*Calculator!$B$11,Calculator!$B$12)</f>
        <v>7143.825</v>
      </c>
      <c r="Y602" s="11" t="n">
        <f aca="false">MAX(W602,0)-X602</f>
        <v>81901.175</v>
      </c>
      <c r="Z602" s="11" t="n">
        <f aca="false">MIN(IF(P602&gt;0,Calculator!$B$13,0)+T602+Calculator!$B$14,'Tax Tables'!$B$36)</f>
        <v>20200</v>
      </c>
      <c r="AA602" s="11" t="n">
        <f aca="false">MAX(P602-Z602,0)</f>
        <v>274300</v>
      </c>
      <c r="AB602" s="11" t="n">
        <f aca="false">SUMPRODUCT((AA602&gt;'Tax Tables'!$A$5:$A$17)*(AA602-'Tax Tables'!$A$5:$A$17)*'Tax Tables'!$C$5:$C$17)</f>
        <v>35438.5</v>
      </c>
      <c r="AC602" s="11" t="n">
        <f aca="false">IF(W602&lt;0,-1E+099,P602-T602-AB602+Y602+(T602+U602)*Calculator!$B$9)</f>
        <v>357282.675</v>
      </c>
    </row>
    <row r="603" customFormat="false" ht="15" hidden="false" customHeight="false" outlineLevel="0" collapsed="false">
      <c r="A603" s="11" t="n">
        <f aca="false">590*$B$3</f>
        <v>295000</v>
      </c>
      <c r="B603" s="11" t="n">
        <f aca="false">0</f>
        <v>0</v>
      </c>
      <c r="C603" s="11" t="n">
        <f aca="false">A603-B603</f>
        <v>295000</v>
      </c>
      <c r="D603" s="11" t="n">
        <f aca="false">IF(Calculator!$B$6="Yes",MIN(B603,'Tax Tables'!$B$31*'Tax Tables'!$B$32),0)</f>
        <v>0</v>
      </c>
      <c r="E603" s="11" t="n">
        <f aca="false">D603*Calculator!$B$7</f>
        <v>0</v>
      </c>
      <c r="F603" s="11" t="n">
        <f aca="false">D603*Calculator!$B$8</f>
        <v>0</v>
      </c>
      <c r="G603" s="11" t="n">
        <f aca="false">IF(B603&gt;0,'Tax Tables'!$B$32*MIN(MAX(B603/'Tax Tables'!$B$32*'Tax Tables'!$B$33,'Tax Tables'!$B$34),'Tax Tables'!$B$35),0)</f>
        <v>0</v>
      </c>
      <c r="H603" s="11" t="n">
        <f aca="false">Calculator!$B$5-A603-F603-G603</f>
        <v>105000</v>
      </c>
      <c r="I603" s="11" t="n">
        <f aca="false">'Tax Tables'!$B$22*(MAX(H603,0)-IF(Calculator!$B$10="Yes",MIN(MAX(H603,0),'Tax Tables'!$B$27)*'Tax Tables'!$B$28+MIN(MAX(MAX(H603,0)-'Tax Tables'!$B$27,0),'Tax Tables'!$B$29)*'Tax Tables'!$B$30,MIN(MAX(H603,0),'Tax Tables'!$B$23)*'Tax Tables'!$B$24+MIN(MAX(MAX(H603,0)-'Tax Tables'!$B$23,0),'Tax Tables'!$B$25)*'Tax Tables'!$B$26))*1-MIN('Tax Tables'!$B$22*(MAX(H603,0)-IF(Calculator!$B$10="Yes",MIN(MAX(H603,0),'Tax Tables'!$B$27)*'Tax Tables'!$B$28+MIN(MAX(MAX(H603,0)-'Tax Tables'!$B$27,0),'Tax Tables'!$B$29)*'Tax Tables'!$B$30,MIN(MAX(H603,0),'Tax Tables'!$B$23)*'Tax Tables'!$B$24+MIN(MAX(MAX(H603,0)-'Tax Tables'!$B$23,0),'Tax Tables'!$B$25)*'Tax Tables'!$B$26))*Calculator!$B$11,Calculator!$B$12)</f>
        <v>8500</v>
      </c>
      <c r="J603" s="11" t="n">
        <f aca="false">MAX(H603,0)-I603</f>
        <v>96500</v>
      </c>
      <c r="K603" s="11" t="n">
        <f aca="false">MIN(IF(A603&gt;0,Calculator!$B$13,0)+E603+Calculator!$B$14,'Tax Tables'!$B$36)</f>
        <v>1000</v>
      </c>
      <c r="L603" s="11" t="n">
        <f aca="false">MAX(A603-K603,0)</f>
        <v>294000</v>
      </c>
      <c r="M603" s="11" t="n">
        <f aca="false">SUMPRODUCT((L603&gt;'Tax Tables'!$A$5:$A$17)*(L603-'Tax Tables'!$A$5:$A$17)*'Tax Tables'!$C$5:$C$17)</f>
        <v>39350</v>
      </c>
      <c r="N603" s="11" t="n">
        <f aca="false">IF(H603&lt;0,-1E+099,A603-E603-M603+J603+(E603+F603)*Calculator!$B$9)</f>
        <v>352150</v>
      </c>
      <c r="O603" s="2"/>
      <c r="P603" s="11" t="n">
        <f aca="false">590*$B$3</f>
        <v>295000</v>
      </c>
      <c r="Q603" s="11" t="n">
        <f aca="false">MIN(P603,'Tax Tables'!$B$31*'Tax Tables'!$B$32)</f>
        <v>96000</v>
      </c>
      <c r="R603" s="11" t="n">
        <f aca="false">P603-Q603</f>
        <v>199000</v>
      </c>
      <c r="S603" s="11" t="n">
        <f aca="false">IF(Calculator!$B$6="Yes",MIN(Q603,'Tax Tables'!$B$31*'Tax Tables'!$B$32),0)</f>
        <v>96000</v>
      </c>
      <c r="T603" s="11" t="n">
        <f aca="false">S603*Calculator!$B$7</f>
        <v>19200</v>
      </c>
      <c r="U603" s="11" t="n">
        <f aca="false">S603*Calculator!$B$8</f>
        <v>16320</v>
      </c>
      <c r="V603" s="11" t="n">
        <f aca="false">IF(Q603&gt;0,'Tax Tables'!$B$32*MIN(MAX(Q603/'Tax Tables'!$B$32*'Tax Tables'!$B$33,'Tax Tables'!$B$34),'Tax Tables'!$B$35),0)</f>
        <v>135</v>
      </c>
      <c r="W603" s="11" t="n">
        <f aca="false">Calculator!$B$5-P603-U603-V603</f>
        <v>88545</v>
      </c>
      <c r="X603" s="11" t="n">
        <f aca="false">'Tax Tables'!$B$22*(MAX(W603,0)-IF(Calculator!$B$10="Yes",MIN(MAX(W603,0),'Tax Tables'!$B$27)*'Tax Tables'!$B$28+MIN(MAX(MAX(W603,0)-'Tax Tables'!$B$27,0),'Tax Tables'!$B$29)*'Tax Tables'!$B$30,MIN(MAX(W603,0),'Tax Tables'!$B$23)*'Tax Tables'!$B$24+MIN(MAX(MAX(W603,0)-'Tax Tables'!$B$23,0),'Tax Tables'!$B$25)*'Tax Tables'!$B$26))*1-MIN('Tax Tables'!$B$22*(MAX(W603,0)-IF(Calculator!$B$10="Yes",MIN(MAX(W603,0),'Tax Tables'!$B$27)*'Tax Tables'!$B$28+MIN(MAX(MAX(W603,0)-'Tax Tables'!$B$27,0),'Tax Tables'!$B$29)*'Tax Tables'!$B$30,MIN(MAX(W603,0),'Tax Tables'!$B$23)*'Tax Tables'!$B$24+MIN(MAX(MAX(W603,0)-'Tax Tables'!$B$23,0),'Tax Tables'!$B$25)*'Tax Tables'!$B$26))*Calculator!$B$11,Calculator!$B$12)</f>
        <v>7101.325</v>
      </c>
      <c r="Y603" s="11" t="n">
        <f aca="false">MAX(W603,0)-X603</f>
        <v>81443.675</v>
      </c>
      <c r="Z603" s="11" t="n">
        <f aca="false">MIN(IF(P603&gt;0,Calculator!$B$13,0)+T603+Calculator!$B$14,'Tax Tables'!$B$36)</f>
        <v>20200</v>
      </c>
      <c r="AA603" s="11" t="n">
        <f aca="false">MAX(P603-Z603,0)</f>
        <v>274800</v>
      </c>
      <c r="AB603" s="11" t="n">
        <f aca="false">SUMPRODUCT((AA603&gt;'Tax Tables'!$A$5:$A$17)*(AA603-'Tax Tables'!$A$5:$A$17)*'Tax Tables'!$C$5:$C$17)</f>
        <v>35536</v>
      </c>
      <c r="AC603" s="11" t="n">
        <f aca="false">IF(W603&lt;0,-1E+099,P603-T603-AB603+Y603+(T603+U603)*Calculator!$B$9)</f>
        <v>357227.675</v>
      </c>
    </row>
    <row r="604" customFormat="false" ht="15" hidden="false" customHeight="false" outlineLevel="0" collapsed="false">
      <c r="A604" s="11" t="n">
        <f aca="false">591*$B$3</f>
        <v>295500</v>
      </c>
      <c r="B604" s="11" t="n">
        <f aca="false">0</f>
        <v>0</v>
      </c>
      <c r="C604" s="11" t="n">
        <f aca="false">A604-B604</f>
        <v>295500</v>
      </c>
      <c r="D604" s="11" t="n">
        <f aca="false">IF(Calculator!$B$6="Yes",MIN(B604,'Tax Tables'!$B$31*'Tax Tables'!$B$32),0)</f>
        <v>0</v>
      </c>
      <c r="E604" s="11" t="n">
        <f aca="false">D604*Calculator!$B$7</f>
        <v>0</v>
      </c>
      <c r="F604" s="11" t="n">
        <f aca="false">D604*Calculator!$B$8</f>
        <v>0</v>
      </c>
      <c r="G604" s="11" t="n">
        <f aca="false">IF(B604&gt;0,'Tax Tables'!$B$32*MIN(MAX(B604/'Tax Tables'!$B$32*'Tax Tables'!$B$33,'Tax Tables'!$B$34),'Tax Tables'!$B$35),0)</f>
        <v>0</v>
      </c>
      <c r="H604" s="11" t="n">
        <f aca="false">Calculator!$B$5-A604-F604-G604</f>
        <v>104500</v>
      </c>
      <c r="I604" s="11" t="n">
        <f aca="false">'Tax Tables'!$B$22*(MAX(H604,0)-IF(Calculator!$B$10="Yes",MIN(MAX(H604,0),'Tax Tables'!$B$27)*'Tax Tables'!$B$28+MIN(MAX(MAX(H604,0)-'Tax Tables'!$B$27,0),'Tax Tables'!$B$29)*'Tax Tables'!$B$30,MIN(MAX(H604,0),'Tax Tables'!$B$23)*'Tax Tables'!$B$24+MIN(MAX(MAX(H604,0)-'Tax Tables'!$B$23,0),'Tax Tables'!$B$25)*'Tax Tables'!$B$26))*1-MIN('Tax Tables'!$B$22*(MAX(H604,0)-IF(Calculator!$B$10="Yes",MIN(MAX(H604,0),'Tax Tables'!$B$27)*'Tax Tables'!$B$28+MIN(MAX(MAX(H604,0)-'Tax Tables'!$B$27,0),'Tax Tables'!$B$29)*'Tax Tables'!$B$30,MIN(MAX(H604,0),'Tax Tables'!$B$23)*'Tax Tables'!$B$24+MIN(MAX(MAX(H604,0)-'Tax Tables'!$B$23,0),'Tax Tables'!$B$25)*'Tax Tables'!$B$26))*Calculator!$B$11,Calculator!$B$12)</f>
        <v>8457.5</v>
      </c>
      <c r="J604" s="11" t="n">
        <f aca="false">MAX(H604,0)-I604</f>
        <v>96042.5</v>
      </c>
      <c r="K604" s="11" t="n">
        <f aca="false">MIN(IF(A604&gt;0,Calculator!$B$13,0)+E604+Calculator!$B$14,'Tax Tables'!$B$36)</f>
        <v>1000</v>
      </c>
      <c r="L604" s="11" t="n">
        <f aca="false">MAX(A604-K604,0)</f>
        <v>294500</v>
      </c>
      <c r="M604" s="11" t="n">
        <f aca="false">SUMPRODUCT((L604&gt;'Tax Tables'!$A$5:$A$17)*(L604-'Tax Tables'!$A$5:$A$17)*'Tax Tables'!$C$5:$C$17)</f>
        <v>39450</v>
      </c>
      <c r="N604" s="11" t="n">
        <f aca="false">IF(H604&lt;0,-1E+099,A604-E604-M604+J604+(E604+F604)*Calculator!$B$9)</f>
        <v>352092.5</v>
      </c>
      <c r="O604" s="2"/>
      <c r="P604" s="11" t="n">
        <f aca="false">591*$B$3</f>
        <v>295500</v>
      </c>
      <c r="Q604" s="11" t="n">
        <f aca="false">MIN(P604,'Tax Tables'!$B$31*'Tax Tables'!$B$32)</f>
        <v>96000</v>
      </c>
      <c r="R604" s="11" t="n">
        <f aca="false">P604-Q604</f>
        <v>199500</v>
      </c>
      <c r="S604" s="11" t="n">
        <f aca="false">IF(Calculator!$B$6="Yes",MIN(Q604,'Tax Tables'!$B$31*'Tax Tables'!$B$32),0)</f>
        <v>96000</v>
      </c>
      <c r="T604" s="11" t="n">
        <f aca="false">S604*Calculator!$B$7</f>
        <v>19200</v>
      </c>
      <c r="U604" s="11" t="n">
        <f aca="false">S604*Calculator!$B$8</f>
        <v>16320</v>
      </c>
      <c r="V604" s="11" t="n">
        <f aca="false">IF(Q604&gt;0,'Tax Tables'!$B$32*MIN(MAX(Q604/'Tax Tables'!$B$32*'Tax Tables'!$B$33,'Tax Tables'!$B$34),'Tax Tables'!$B$35),0)</f>
        <v>135</v>
      </c>
      <c r="W604" s="11" t="n">
        <f aca="false">Calculator!$B$5-P604-U604-V604</f>
        <v>88045</v>
      </c>
      <c r="X604" s="11" t="n">
        <f aca="false">'Tax Tables'!$B$22*(MAX(W604,0)-IF(Calculator!$B$10="Yes",MIN(MAX(W604,0),'Tax Tables'!$B$27)*'Tax Tables'!$B$28+MIN(MAX(MAX(W604,0)-'Tax Tables'!$B$27,0),'Tax Tables'!$B$29)*'Tax Tables'!$B$30,MIN(MAX(W604,0),'Tax Tables'!$B$23)*'Tax Tables'!$B$24+MIN(MAX(MAX(W604,0)-'Tax Tables'!$B$23,0),'Tax Tables'!$B$25)*'Tax Tables'!$B$26))*1-MIN('Tax Tables'!$B$22*(MAX(W604,0)-IF(Calculator!$B$10="Yes",MIN(MAX(W604,0),'Tax Tables'!$B$27)*'Tax Tables'!$B$28+MIN(MAX(MAX(W604,0)-'Tax Tables'!$B$27,0),'Tax Tables'!$B$29)*'Tax Tables'!$B$30,MIN(MAX(W604,0),'Tax Tables'!$B$23)*'Tax Tables'!$B$24+MIN(MAX(MAX(W604,0)-'Tax Tables'!$B$23,0),'Tax Tables'!$B$25)*'Tax Tables'!$B$26))*Calculator!$B$11,Calculator!$B$12)</f>
        <v>7058.825</v>
      </c>
      <c r="Y604" s="11" t="n">
        <f aca="false">MAX(W604,0)-X604</f>
        <v>80986.175</v>
      </c>
      <c r="Z604" s="11" t="n">
        <f aca="false">MIN(IF(P604&gt;0,Calculator!$B$13,0)+T604+Calculator!$B$14,'Tax Tables'!$B$36)</f>
        <v>20200</v>
      </c>
      <c r="AA604" s="11" t="n">
        <f aca="false">MAX(P604-Z604,0)</f>
        <v>275300</v>
      </c>
      <c r="AB604" s="11" t="n">
        <f aca="false">SUMPRODUCT((AA604&gt;'Tax Tables'!$A$5:$A$17)*(AA604-'Tax Tables'!$A$5:$A$17)*'Tax Tables'!$C$5:$C$17)</f>
        <v>35633.5</v>
      </c>
      <c r="AC604" s="11" t="n">
        <f aca="false">IF(W604&lt;0,-1E+099,P604-T604-AB604+Y604+(T604+U604)*Calculator!$B$9)</f>
        <v>357172.675</v>
      </c>
    </row>
    <row r="605" customFormat="false" ht="15" hidden="false" customHeight="false" outlineLevel="0" collapsed="false">
      <c r="A605" s="11" t="n">
        <f aca="false">592*$B$3</f>
        <v>296000</v>
      </c>
      <c r="B605" s="11" t="n">
        <f aca="false">0</f>
        <v>0</v>
      </c>
      <c r="C605" s="11" t="n">
        <f aca="false">A605-B605</f>
        <v>296000</v>
      </c>
      <c r="D605" s="11" t="n">
        <f aca="false">IF(Calculator!$B$6="Yes",MIN(B605,'Tax Tables'!$B$31*'Tax Tables'!$B$32),0)</f>
        <v>0</v>
      </c>
      <c r="E605" s="11" t="n">
        <f aca="false">D605*Calculator!$B$7</f>
        <v>0</v>
      </c>
      <c r="F605" s="11" t="n">
        <f aca="false">D605*Calculator!$B$8</f>
        <v>0</v>
      </c>
      <c r="G605" s="11" t="n">
        <f aca="false">IF(B605&gt;0,'Tax Tables'!$B$32*MIN(MAX(B605/'Tax Tables'!$B$32*'Tax Tables'!$B$33,'Tax Tables'!$B$34),'Tax Tables'!$B$35),0)</f>
        <v>0</v>
      </c>
      <c r="H605" s="11" t="n">
        <f aca="false">Calculator!$B$5-A605-F605-G605</f>
        <v>104000</v>
      </c>
      <c r="I605" s="11" t="n">
        <f aca="false">'Tax Tables'!$B$22*(MAX(H605,0)-IF(Calculator!$B$10="Yes",MIN(MAX(H605,0),'Tax Tables'!$B$27)*'Tax Tables'!$B$28+MIN(MAX(MAX(H605,0)-'Tax Tables'!$B$27,0),'Tax Tables'!$B$29)*'Tax Tables'!$B$30,MIN(MAX(H605,0),'Tax Tables'!$B$23)*'Tax Tables'!$B$24+MIN(MAX(MAX(H605,0)-'Tax Tables'!$B$23,0),'Tax Tables'!$B$25)*'Tax Tables'!$B$26))*1-MIN('Tax Tables'!$B$22*(MAX(H605,0)-IF(Calculator!$B$10="Yes",MIN(MAX(H605,0),'Tax Tables'!$B$27)*'Tax Tables'!$B$28+MIN(MAX(MAX(H605,0)-'Tax Tables'!$B$27,0),'Tax Tables'!$B$29)*'Tax Tables'!$B$30,MIN(MAX(H605,0),'Tax Tables'!$B$23)*'Tax Tables'!$B$24+MIN(MAX(MAX(H605,0)-'Tax Tables'!$B$23,0),'Tax Tables'!$B$25)*'Tax Tables'!$B$26))*Calculator!$B$11,Calculator!$B$12)</f>
        <v>8415</v>
      </c>
      <c r="J605" s="11" t="n">
        <f aca="false">MAX(H605,0)-I605</f>
        <v>95585</v>
      </c>
      <c r="K605" s="11" t="n">
        <f aca="false">MIN(IF(A605&gt;0,Calculator!$B$13,0)+E605+Calculator!$B$14,'Tax Tables'!$B$36)</f>
        <v>1000</v>
      </c>
      <c r="L605" s="11" t="n">
        <f aca="false">MAX(A605-K605,0)</f>
        <v>295000</v>
      </c>
      <c r="M605" s="11" t="n">
        <f aca="false">SUMPRODUCT((L605&gt;'Tax Tables'!$A$5:$A$17)*(L605-'Tax Tables'!$A$5:$A$17)*'Tax Tables'!$C$5:$C$17)</f>
        <v>39550</v>
      </c>
      <c r="N605" s="11" t="n">
        <f aca="false">IF(H605&lt;0,-1E+099,A605-E605-M605+J605+(E605+F605)*Calculator!$B$9)</f>
        <v>352035</v>
      </c>
      <c r="O605" s="2"/>
      <c r="P605" s="11" t="n">
        <f aca="false">592*$B$3</f>
        <v>296000</v>
      </c>
      <c r="Q605" s="11" t="n">
        <f aca="false">MIN(P605,'Tax Tables'!$B$31*'Tax Tables'!$B$32)</f>
        <v>96000</v>
      </c>
      <c r="R605" s="11" t="n">
        <f aca="false">P605-Q605</f>
        <v>200000</v>
      </c>
      <c r="S605" s="11" t="n">
        <f aca="false">IF(Calculator!$B$6="Yes",MIN(Q605,'Tax Tables'!$B$31*'Tax Tables'!$B$32),0)</f>
        <v>96000</v>
      </c>
      <c r="T605" s="11" t="n">
        <f aca="false">S605*Calculator!$B$7</f>
        <v>19200</v>
      </c>
      <c r="U605" s="11" t="n">
        <f aca="false">S605*Calculator!$B$8</f>
        <v>16320</v>
      </c>
      <c r="V605" s="11" t="n">
        <f aca="false">IF(Q605&gt;0,'Tax Tables'!$B$32*MIN(MAX(Q605/'Tax Tables'!$B$32*'Tax Tables'!$B$33,'Tax Tables'!$B$34),'Tax Tables'!$B$35),0)</f>
        <v>135</v>
      </c>
      <c r="W605" s="11" t="n">
        <f aca="false">Calculator!$B$5-P605-U605-V605</f>
        <v>87545</v>
      </c>
      <c r="X605" s="11" t="n">
        <f aca="false">'Tax Tables'!$B$22*(MAX(W605,0)-IF(Calculator!$B$10="Yes",MIN(MAX(W605,0),'Tax Tables'!$B$27)*'Tax Tables'!$B$28+MIN(MAX(MAX(W605,0)-'Tax Tables'!$B$27,0),'Tax Tables'!$B$29)*'Tax Tables'!$B$30,MIN(MAX(W605,0),'Tax Tables'!$B$23)*'Tax Tables'!$B$24+MIN(MAX(MAX(W605,0)-'Tax Tables'!$B$23,0),'Tax Tables'!$B$25)*'Tax Tables'!$B$26))*1-MIN('Tax Tables'!$B$22*(MAX(W605,0)-IF(Calculator!$B$10="Yes",MIN(MAX(W605,0),'Tax Tables'!$B$27)*'Tax Tables'!$B$28+MIN(MAX(MAX(W605,0)-'Tax Tables'!$B$27,0),'Tax Tables'!$B$29)*'Tax Tables'!$B$30,MIN(MAX(W605,0),'Tax Tables'!$B$23)*'Tax Tables'!$B$24+MIN(MAX(MAX(W605,0)-'Tax Tables'!$B$23,0),'Tax Tables'!$B$25)*'Tax Tables'!$B$26))*Calculator!$B$11,Calculator!$B$12)</f>
        <v>7016.325</v>
      </c>
      <c r="Y605" s="11" t="n">
        <f aca="false">MAX(W605,0)-X605</f>
        <v>80528.675</v>
      </c>
      <c r="Z605" s="11" t="n">
        <f aca="false">MIN(IF(P605&gt;0,Calculator!$B$13,0)+T605+Calculator!$B$14,'Tax Tables'!$B$36)</f>
        <v>20200</v>
      </c>
      <c r="AA605" s="11" t="n">
        <f aca="false">MAX(P605-Z605,0)</f>
        <v>275800</v>
      </c>
      <c r="AB605" s="11" t="n">
        <f aca="false">SUMPRODUCT((AA605&gt;'Tax Tables'!$A$5:$A$17)*(AA605-'Tax Tables'!$A$5:$A$17)*'Tax Tables'!$C$5:$C$17)</f>
        <v>35731</v>
      </c>
      <c r="AC605" s="11" t="n">
        <f aca="false">IF(W605&lt;0,-1E+099,P605-T605-AB605+Y605+(T605+U605)*Calculator!$B$9)</f>
        <v>357117.675</v>
      </c>
    </row>
    <row r="606" customFormat="false" ht="15" hidden="false" customHeight="false" outlineLevel="0" collapsed="false">
      <c r="A606" s="11" t="n">
        <f aca="false">593*$B$3</f>
        <v>296500</v>
      </c>
      <c r="B606" s="11" t="n">
        <f aca="false">0</f>
        <v>0</v>
      </c>
      <c r="C606" s="11" t="n">
        <f aca="false">A606-B606</f>
        <v>296500</v>
      </c>
      <c r="D606" s="11" t="n">
        <f aca="false">IF(Calculator!$B$6="Yes",MIN(B606,'Tax Tables'!$B$31*'Tax Tables'!$B$32),0)</f>
        <v>0</v>
      </c>
      <c r="E606" s="11" t="n">
        <f aca="false">D606*Calculator!$B$7</f>
        <v>0</v>
      </c>
      <c r="F606" s="11" t="n">
        <f aca="false">D606*Calculator!$B$8</f>
        <v>0</v>
      </c>
      <c r="G606" s="11" t="n">
        <f aca="false">IF(B606&gt;0,'Tax Tables'!$B$32*MIN(MAX(B606/'Tax Tables'!$B$32*'Tax Tables'!$B$33,'Tax Tables'!$B$34),'Tax Tables'!$B$35),0)</f>
        <v>0</v>
      </c>
      <c r="H606" s="11" t="n">
        <f aca="false">Calculator!$B$5-A606-F606-G606</f>
        <v>103500</v>
      </c>
      <c r="I606" s="11" t="n">
        <f aca="false">'Tax Tables'!$B$22*(MAX(H606,0)-IF(Calculator!$B$10="Yes",MIN(MAX(H606,0),'Tax Tables'!$B$27)*'Tax Tables'!$B$28+MIN(MAX(MAX(H606,0)-'Tax Tables'!$B$27,0),'Tax Tables'!$B$29)*'Tax Tables'!$B$30,MIN(MAX(H606,0),'Tax Tables'!$B$23)*'Tax Tables'!$B$24+MIN(MAX(MAX(H606,0)-'Tax Tables'!$B$23,0),'Tax Tables'!$B$25)*'Tax Tables'!$B$26))*1-MIN('Tax Tables'!$B$22*(MAX(H606,0)-IF(Calculator!$B$10="Yes",MIN(MAX(H606,0),'Tax Tables'!$B$27)*'Tax Tables'!$B$28+MIN(MAX(MAX(H606,0)-'Tax Tables'!$B$27,0),'Tax Tables'!$B$29)*'Tax Tables'!$B$30,MIN(MAX(H606,0),'Tax Tables'!$B$23)*'Tax Tables'!$B$24+MIN(MAX(MAX(H606,0)-'Tax Tables'!$B$23,0),'Tax Tables'!$B$25)*'Tax Tables'!$B$26))*Calculator!$B$11,Calculator!$B$12)</f>
        <v>8372.5</v>
      </c>
      <c r="J606" s="11" t="n">
        <f aca="false">MAX(H606,0)-I606</f>
        <v>95127.5</v>
      </c>
      <c r="K606" s="11" t="n">
        <f aca="false">MIN(IF(A606&gt;0,Calculator!$B$13,0)+E606+Calculator!$B$14,'Tax Tables'!$B$36)</f>
        <v>1000</v>
      </c>
      <c r="L606" s="11" t="n">
        <f aca="false">MAX(A606-K606,0)</f>
        <v>295500</v>
      </c>
      <c r="M606" s="11" t="n">
        <f aca="false">SUMPRODUCT((L606&gt;'Tax Tables'!$A$5:$A$17)*(L606-'Tax Tables'!$A$5:$A$17)*'Tax Tables'!$C$5:$C$17)</f>
        <v>39650</v>
      </c>
      <c r="N606" s="11" t="n">
        <f aca="false">IF(H606&lt;0,-1E+099,A606-E606-M606+J606+(E606+F606)*Calculator!$B$9)</f>
        <v>351977.5</v>
      </c>
      <c r="O606" s="2"/>
      <c r="P606" s="11" t="n">
        <f aca="false">593*$B$3</f>
        <v>296500</v>
      </c>
      <c r="Q606" s="11" t="n">
        <f aca="false">MIN(P606,'Tax Tables'!$B$31*'Tax Tables'!$B$32)</f>
        <v>96000</v>
      </c>
      <c r="R606" s="11" t="n">
        <f aca="false">P606-Q606</f>
        <v>200500</v>
      </c>
      <c r="S606" s="11" t="n">
        <f aca="false">IF(Calculator!$B$6="Yes",MIN(Q606,'Tax Tables'!$B$31*'Tax Tables'!$B$32),0)</f>
        <v>96000</v>
      </c>
      <c r="T606" s="11" t="n">
        <f aca="false">S606*Calculator!$B$7</f>
        <v>19200</v>
      </c>
      <c r="U606" s="11" t="n">
        <f aca="false">S606*Calculator!$B$8</f>
        <v>16320</v>
      </c>
      <c r="V606" s="11" t="n">
        <f aca="false">IF(Q606&gt;0,'Tax Tables'!$B$32*MIN(MAX(Q606/'Tax Tables'!$B$32*'Tax Tables'!$B$33,'Tax Tables'!$B$34),'Tax Tables'!$B$35),0)</f>
        <v>135</v>
      </c>
      <c r="W606" s="11" t="n">
        <f aca="false">Calculator!$B$5-P606-U606-V606</f>
        <v>87045</v>
      </c>
      <c r="X606" s="11" t="n">
        <f aca="false">'Tax Tables'!$B$22*(MAX(W606,0)-IF(Calculator!$B$10="Yes",MIN(MAX(W606,0),'Tax Tables'!$B$27)*'Tax Tables'!$B$28+MIN(MAX(MAX(W606,0)-'Tax Tables'!$B$27,0),'Tax Tables'!$B$29)*'Tax Tables'!$B$30,MIN(MAX(W606,0),'Tax Tables'!$B$23)*'Tax Tables'!$B$24+MIN(MAX(MAX(W606,0)-'Tax Tables'!$B$23,0),'Tax Tables'!$B$25)*'Tax Tables'!$B$26))*1-MIN('Tax Tables'!$B$22*(MAX(W606,0)-IF(Calculator!$B$10="Yes",MIN(MAX(W606,0),'Tax Tables'!$B$27)*'Tax Tables'!$B$28+MIN(MAX(MAX(W606,0)-'Tax Tables'!$B$27,0),'Tax Tables'!$B$29)*'Tax Tables'!$B$30,MIN(MAX(W606,0),'Tax Tables'!$B$23)*'Tax Tables'!$B$24+MIN(MAX(MAX(W606,0)-'Tax Tables'!$B$23,0),'Tax Tables'!$B$25)*'Tax Tables'!$B$26))*Calculator!$B$11,Calculator!$B$12)</f>
        <v>6973.825</v>
      </c>
      <c r="Y606" s="11" t="n">
        <f aca="false">MAX(W606,0)-X606</f>
        <v>80071.175</v>
      </c>
      <c r="Z606" s="11" t="n">
        <f aca="false">MIN(IF(P606&gt;0,Calculator!$B$13,0)+T606+Calculator!$B$14,'Tax Tables'!$B$36)</f>
        <v>20200</v>
      </c>
      <c r="AA606" s="11" t="n">
        <f aca="false">MAX(P606-Z606,0)</f>
        <v>276300</v>
      </c>
      <c r="AB606" s="11" t="n">
        <f aca="false">SUMPRODUCT((AA606&gt;'Tax Tables'!$A$5:$A$17)*(AA606-'Tax Tables'!$A$5:$A$17)*'Tax Tables'!$C$5:$C$17)</f>
        <v>35828.5</v>
      </c>
      <c r="AC606" s="11" t="n">
        <f aca="false">IF(W606&lt;0,-1E+099,P606-T606-AB606+Y606+(T606+U606)*Calculator!$B$9)</f>
        <v>357062.675</v>
      </c>
    </row>
    <row r="607" customFormat="false" ht="15" hidden="false" customHeight="false" outlineLevel="0" collapsed="false">
      <c r="A607" s="11" t="n">
        <f aca="false">594*$B$3</f>
        <v>297000</v>
      </c>
      <c r="B607" s="11" t="n">
        <f aca="false">0</f>
        <v>0</v>
      </c>
      <c r="C607" s="11" t="n">
        <f aca="false">A607-B607</f>
        <v>297000</v>
      </c>
      <c r="D607" s="11" t="n">
        <f aca="false">IF(Calculator!$B$6="Yes",MIN(B607,'Tax Tables'!$B$31*'Tax Tables'!$B$32),0)</f>
        <v>0</v>
      </c>
      <c r="E607" s="11" t="n">
        <f aca="false">D607*Calculator!$B$7</f>
        <v>0</v>
      </c>
      <c r="F607" s="11" t="n">
        <f aca="false">D607*Calculator!$B$8</f>
        <v>0</v>
      </c>
      <c r="G607" s="11" t="n">
        <f aca="false">IF(B607&gt;0,'Tax Tables'!$B$32*MIN(MAX(B607/'Tax Tables'!$B$32*'Tax Tables'!$B$33,'Tax Tables'!$B$34),'Tax Tables'!$B$35),0)</f>
        <v>0</v>
      </c>
      <c r="H607" s="11" t="n">
        <f aca="false">Calculator!$B$5-A607-F607-G607</f>
        <v>103000</v>
      </c>
      <c r="I607" s="11" t="n">
        <f aca="false">'Tax Tables'!$B$22*(MAX(H607,0)-IF(Calculator!$B$10="Yes",MIN(MAX(H607,0),'Tax Tables'!$B$27)*'Tax Tables'!$B$28+MIN(MAX(MAX(H607,0)-'Tax Tables'!$B$27,0),'Tax Tables'!$B$29)*'Tax Tables'!$B$30,MIN(MAX(H607,0),'Tax Tables'!$B$23)*'Tax Tables'!$B$24+MIN(MAX(MAX(H607,0)-'Tax Tables'!$B$23,0),'Tax Tables'!$B$25)*'Tax Tables'!$B$26))*1-MIN('Tax Tables'!$B$22*(MAX(H607,0)-IF(Calculator!$B$10="Yes",MIN(MAX(H607,0),'Tax Tables'!$B$27)*'Tax Tables'!$B$28+MIN(MAX(MAX(H607,0)-'Tax Tables'!$B$27,0),'Tax Tables'!$B$29)*'Tax Tables'!$B$30,MIN(MAX(H607,0),'Tax Tables'!$B$23)*'Tax Tables'!$B$24+MIN(MAX(MAX(H607,0)-'Tax Tables'!$B$23,0),'Tax Tables'!$B$25)*'Tax Tables'!$B$26))*Calculator!$B$11,Calculator!$B$12)</f>
        <v>8330</v>
      </c>
      <c r="J607" s="11" t="n">
        <f aca="false">MAX(H607,0)-I607</f>
        <v>94670</v>
      </c>
      <c r="K607" s="11" t="n">
        <f aca="false">MIN(IF(A607&gt;0,Calculator!$B$13,0)+E607+Calculator!$B$14,'Tax Tables'!$B$36)</f>
        <v>1000</v>
      </c>
      <c r="L607" s="11" t="n">
        <f aca="false">MAX(A607-K607,0)</f>
        <v>296000</v>
      </c>
      <c r="M607" s="11" t="n">
        <f aca="false">SUMPRODUCT((L607&gt;'Tax Tables'!$A$5:$A$17)*(L607-'Tax Tables'!$A$5:$A$17)*'Tax Tables'!$C$5:$C$17)</f>
        <v>39750</v>
      </c>
      <c r="N607" s="11" t="n">
        <f aca="false">IF(H607&lt;0,-1E+099,A607-E607-M607+J607+(E607+F607)*Calculator!$B$9)</f>
        <v>351920</v>
      </c>
      <c r="O607" s="2"/>
      <c r="P607" s="11" t="n">
        <f aca="false">594*$B$3</f>
        <v>297000</v>
      </c>
      <c r="Q607" s="11" t="n">
        <f aca="false">MIN(P607,'Tax Tables'!$B$31*'Tax Tables'!$B$32)</f>
        <v>96000</v>
      </c>
      <c r="R607" s="11" t="n">
        <f aca="false">P607-Q607</f>
        <v>201000</v>
      </c>
      <c r="S607" s="11" t="n">
        <f aca="false">IF(Calculator!$B$6="Yes",MIN(Q607,'Tax Tables'!$B$31*'Tax Tables'!$B$32),0)</f>
        <v>96000</v>
      </c>
      <c r="T607" s="11" t="n">
        <f aca="false">S607*Calculator!$B$7</f>
        <v>19200</v>
      </c>
      <c r="U607" s="11" t="n">
        <f aca="false">S607*Calculator!$B$8</f>
        <v>16320</v>
      </c>
      <c r="V607" s="11" t="n">
        <f aca="false">IF(Q607&gt;0,'Tax Tables'!$B$32*MIN(MAX(Q607/'Tax Tables'!$B$32*'Tax Tables'!$B$33,'Tax Tables'!$B$34),'Tax Tables'!$B$35),0)</f>
        <v>135</v>
      </c>
      <c r="W607" s="11" t="n">
        <f aca="false">Calculator!$B$5-P607-U607-V607</f>
        <v>86545</v>
      </c>
      <c r="X607" s="11" t="n">
        <f aca="false">'Tax Tables'!$B$22*(MAX(W607,0)-IF(Calculator!$B$10="Yes",MIN(MAX(W607,0),'Tax Tables'!$B$27)*'Tax Tables'!$B$28+MIN(MAX(MAX(W607,0)-'Tax Tables'!$B$27,0),'Tax Tables'!$B$29)*'Tax Tables'!$B$30,MIN(MAX(W607,0),'Tax Tables'!$B$23)*'Tax Tables'!$B$24+MIN(MAX(MAX(W607,0)-'Tax Tables'!$B$23,0),'Tax Tables'!$B$25)*'Tax Tables'!$B$26))*1-MIN('Tax Tables'!$B$22*(MAX(W607,0)-IF(Calculator!$B$10="Yes",MIN(MAX(W607,0),'Tax Tables'!$B$27)*'Tax Tables'!$B$28+MIN(MAX(MAX(W607,0)-'Tax Tables'!$B$27,0),'Tax Tables'!$B$29)*'Tax Tables'!$B$30,MIN(MAX(W607,0),'Tax Tables'!$B$23)*'Tax Tables'!$B$24+MIN(MAX(MAX(W607,0)-'Tax Tables'!$B$23,0),'Tax Tables'!$B$25)*'Tax Tables'!$B$26))*Calculator!$B$11,Calculator!$B$12)</f>
        <v>6931.325</v>
      </c>
      <c r="Y607" s="11" t="n">
        <f aca="false">MAX(W607,0)-X607</f>
        <v>79613.675</v>
      </c>
      <c r="Z607" s="11" t="n">
        <f aca="false">MIN(IF(P607&gt;0,Calculator!$B$13,0)+T607+Calculator!$B$14,'Tax Tables'!$B$36)</f>
        <v>20200</v>
      </c>
      <c r="AA607" s="11" t="n">
        <f aca="false">MAX(P607-Z607,0)</f>
        <v>276800</v>
      </c>
      <c r="AB607" s="11" t="n">
        <f aca="false">SUMPRODUCT((AA607&gt;'Tax Tables'!$A$5:$A$17)*(AA607-'Tax Tables'!$A$5:$A$17)*'Tax Tables'!$C$5:$C$17)</f>
        <v>35926</v>
      </c>
      <c r="AC607" s="11" t="n">
        <f aca="false">IF(W607&lt;0,-1E+099,P607-T607-AB607+Y607+(T607+U607)*Calculator!$B$9)</f>
        <v>357007.675</v>
      </c>
    </row>
    <row r="608" customFormat="false" ht="15" hidden="false" customHeight="false" outlineLevel="0" collapsed="false">
      <c r="A608" s="11" t="n">
        <f aca="false">595*$B$3</f>
        <v>297500</v>
      </c>
      <c r="B608" s="11" t="n">
        <f aca="false">0</f>
        <v>0</v>
      </c>
      <c r="C608" s="11" t="n">
        <f aca="false">A608-B608</f>
        <v>297500</v>
      </c>
      <c r="D608" s="11" t="n">
        <f aca="false">IF(Calculator!$B$6="Yes",MIN(B608,'Tax Tables'!$B$31*'Tax Tables'!$B$32),0)</f>
        <v>0</v>
      </c>
      <c r="E608" s="11" t="n">
        <f aca="false">D608*Calculator!$B$7</f>
        <v>0</v>
      </c>
      <c r="F608" s="11" t="n">
        <f aca="false">D608*Calculator!$B$8</f>
        <v>0</v>
      </c>
      <c r="G608" s="11" t="n">
        <f aca="false">IF(B608&gt;0,'Tax Tables'!$B$32*MIN(MAX(B608/'Tax Tables'!$B$32*'Tax Tables'!$B$33,'Tax Tables'!$B$34),'Tax Tables'!$B$35),0)</f>
        <v>0</v>
      </c>
      <c r="H608" s="11" t="n">
        <f aca="false">Calculator!$B$5-A608-F608-G608</f>
        <v>102500</v>
      </c>
      <c r="I608" s="11" t="n">
        <f aca="false">'Tax Tables'!$B$22*(MAX(H608,0)-IF(Calculator!$B$10="Yes",MIN(MAX(H608,0),'Tax Tables'!$B$27)*'Tax Tables'!$B$28+MIN(MAX(MAX(H608,0)-'Tax Tables'!$B$27,0),'Tax Tables'!$B$29)*'Tax Tables'!$B$30,MIN(MAX(H608,0),'Tax Tables'!$B$23)*'Tax Tables'!$B$24+MIN(MAX(MAX(H608,0)-'Tax Tables'!$B$23,0),'Tax Tables'!$B$25)*'Tax Tables'!$B$26))*1-MIN('Tax Tables'!$B$22*(MAX(H608,0)-IF(Calculator!$B$10="Yes",MIN(MAX(H608,0),'Tax Tables'!$B$27)*'Tax Tables'!$B$28+MIN(MAX(MAX(H608,0)-'Tax Tables'!$B$27,0),'Tax Tables'!$B$29)*'Tax Tables'!$B$30,MIN(MAX(H608,0),'Tax Tables'!$B$23)*'Tax Tables'!$B$24+MIN(MAX(MAX(H608,0)-'Tax Tables'!$B$23,0),'Tax Tables'!$B$25)*'Tax Tables'!$B$26))*Calculator!$B$11,Calculator!$B$12)</f>
        <v>8287.5</v>
      </c>
      <c r="J608" s="11" t="n">
        <f aca="false">MAX(H608,0)-I608</f>
        <v>94212.5</v>
      </c>
      <c r="K608" s="11" t="n">
        <f aca="false">MIN(IF(A608&gt;0,Calculator!$B$13,0)+E608+Calculator!$B$14,'Tax Tables'!$B$36)</f>
        <v>1000</v>
      </c>
      <c r="L608" s="11" t="n">
        <f aca="false">MAX(A608-K608,0)</f>
        <v>296500</v>
      </c>
      <c r="M608" s="11" t="n">
        <f aca="false">SUMPRODUCT((L608&gt;'Tax Tables'!$A$5:$A$17)*(L608-'Tax Tables'!$A$5:$A$17)*'Tax Tables'!$C$5:$C$17)</f>
        <v>39850</v>
      </c>
      <c r="N608" s="11" t="n">
        <f aca="false">IF(H608&lt;0,-1E+099,A608-E608-M608+J608+(E608+F608)*Calculator!$B$9)</f>
        <v>351862.5</v>
      </c>
      <c r="O608" s="2"/>
      <c r="P608" s="11" t="n">
        <f aca="false">595*$B$3</f>
        <v>297500</v>
      </c>
      <c r="Q608" s="11" t="n">
        <f aca="false">MIN(P608,'Tax Tables'!$B$31*'Tax Tables'!$B$32)</f>
        <v>96000</v>
      </c>
      <c r="R608" s="11" t="n">
        <f aca="false">P608-Q608</f>
        <v>201500</v>
      </c>
      <c r="S608" s="11" t="n">
        <f aca="false">IF(Calculator!$B$6="Yes",MIN(Q608,'Tax Tables'!$B$31*'Tax Tables'!$B$32),0)</f>
        <v>96000</v>
      </c>
      <c r="T608" s="11" t="n">
        <f aca="false">S608*Calculator!$B$7</f>
        <v>19200</v>
      </c>
      <c r="U608" s="11" t="n">
        <f aca="false">S608*Calculator!$B$8</f>
        <v>16320</v>
      </c>
      <c r="V608" s="11" t="n">
        <f aca="false">IF(Q608&gt;0,'Tax Tables'!$B$32*MIN(MAX(Q608/'Tax Tables'!$B$32*'Tax Tables'!$B$33,'Tax Tables'!$B$34),'Tax Tables'!$B$35),0)</f>
        <v>135</v>
      </c>
      <c r="W608" s="11" t="n">
        <f aca="false">Calculator!$B$5-P608-U608-V608</f>
        <v>86045</v>
      </c>
      <c r="X608" s="11" t="n">
        <f aca="false">'Tax Tables'!$B$22*(MAX(W608,0)-IF(Calculator!$B$10="Yes",MIN(MAX(W608,0),'Tax Tables'!$B$27)*'Tax Tables'!$B$28+MIN(MAX(MAX(W608,0)-'Tax Tables'!$B$27,0),'Tax Tables'!$B$29)*'Tax Tables'!$B$30,MIN(MAX(W608,0),'Tax Tables'!$B$23)*'Tax Tables'!$B$24+MIN(MAX(MAX(W608,0)-'Tax Tables'!$B$23,0),'Tax Tables'!$B$25)*'Tax Tables'!$B$26))*1-MIN('Tax Tables'!$B$22*(MAX(W608,0)-IF(Calculator!$B$10="Yes",MIN(MAX(W608,0),'Tax Tables'!$B$27)*'Tax Tables'!$B$28+MIN(MAX(MAX(W608,0)-'Tax Tables'!$B$27,0),'Tax Tables'!$B$29)*'Tax Tables'!$B$30,MIN(MAX(W608,0),'Tax Tables'!$B$23)*'Tax Tables'!$B$24+MIN(MAX(MAX(W608,0)-'Tax Tables'!$B$23,0),'Tax Tables'!$B$25)*'Tax Tables'!$B$26))*Calculator!$B$11,Calculator!$B$12)</f>
        <v>6888.825</v>
      </c>
      <c r="Y608" s="11" t="n">
        <f aca="false">MAX(W608,0)-X608</f>
        <v>79156.175</v>
      </c>
      <c r="Z608" s="11" t="n">
        <f aca="false">MIN(IF(P608&gt;0,Calculator!$B$13,0)+T608+Calculator!$B$14,'Tax Tables'!$B$36)</f>
        <v>20200</v>
      </c>
      <c r="AA608" s="11" t="n">
        <f aca="false">MAX(P608-Z608,0)</f>
        <v>277300</v>
      </c>
      <c r="AB608" s="11" t="n">
        <f aca="false">SUMPRODUCT((AA608&gt;'Tax Tables'!$A$5:$A$17)*(AA608-'Tax Tables'!$A$5:$A$17)*'Tax Tables'!$C$5:$C$17)</f>
        <v>36023.5</v>
      </c>
      <c r="AC608" s="11" t="n">
        <f aca="false">IF(W608&lt;0,-1E+099,P608-T608-AB608+Y608+(T608+U608)*Calculator!$B$9)</f>
        <v>356952.675</v>
      </c>
    </row>
    <row r="609" customFormat="false" ht="15" hidden="false" customHeight="false" outlineLevel="0" collapsed="false">
      <c r="A609" s="11" t="n">
        <f aca="false">596*$B$3</f>
        <v>298000</v>
      </c>
      <c r="B609" s="11" t="n">
        <f aca="false">0</f>
        <v>0</v>
      </c>
      <c r="C609" s="11" t="n">
        <f aca="false">A609-B609</f>
        <v>298000</v>
      </c>
      <c r="D609" s="11" t="n">
        <f aca="false">IF(Calculator!$B$6="Yes",MIN(B609,'Tax Tables'!$B$31*'Tax Tables'!$B$32),0)</f>
        <v>0</v>
      </c>
      <c r="E609" s="11" t="n">
        <f aca="false">D609*Calculator!$B$7</f>
        <v>0</v>
      </c>
      <c r="F609" s="11" t="n">
        <f aca="false">D609*Calculator!$B$8</f>
        <v>0</v>
      </c>
      <c r="G609" s="11" t="n">
        <f aca="false">IF(B609&gt;0,'Tax Tables'!$B$32*MIN(MAX(B609/'Tax Tables'!$B$32*'Tax Tables'!$B$33,'Tax Tables'!$B$34),'Tax Tables'!$B$35),0)</f>
        <v>0</v>
      </c>
      <c r="H609" s="11" t="n">
        <f aca="false">Calculator!$B$5-A609-F609-G609</f>
        <v>102000</v>
      </c>
      <c r="I609" s="11" t="n">
        <f aca="false">'Tax Tables'!$B$22*(MAX(H609,0)-IF(Calculator!$B$10="Yes",MIN(MAX(H609,0),'Tax Tables'!$B$27)*'Tax Tables'!$B$28+MIN(MAX(MAX(H609,0)-'Tax Tables'!$B$27,0),'Tax Tables'!$B$29)*'Tax Tables'!$B$30,MIN(MAX(H609,0),'Tax Tables'!$B$23)*'Tax Tables'!$B$24+MIN(MAX(MAX(H609,0)-'Tax Tables'!$B$23,0),'Tax Tables'!$B$25)*'Tax Tables'!$B$26))*1-MIN('Tax Tables'!$B$22*(MAX(H609,0)-IF(Calculator!$B$10="Yes",MIN(MAX(H609,0),'Tax Tables'!$B$27)*'Tax Tables'!$B$28+MIN(MAX(MAX(H609,0)-'Tax Tables'!$B$27,0),'Tax Tables'!$B$29)*'Tax Tables'!$B$30,MIN(MAX(H609,0),'Tax Tables'!$B$23)*'Tax Tables'!$B$24+MIN(MAX(MAX(H609,0)-'Tax Tables'!$B$23,0),'Tax Tables'!$B$25)*'Tax Tables'!$B$26))*Calculator!$B$11,Calculator!$B$12)</f>
        <v>8245</v>
      </c>
      <c r="J609" s="11" t="n">
        <f aca="false">MAX(H609,0)-I609</f>
        <v>93755</v>
      </c>
      <c r="K609" s="11" t="n">
        <f aca="false">MIN(IF(A609&gt;0,Calculator!$B$13,0)+E609+Calculator!$B$14,'Tax Tables'!$B$36)</f>
        <v>1000</v>
      </c>
      <c r="L609" s="11" t="n">
        <f aca="false">MAX(A609-K609,0)</f>
        <v>297000</v>
      </c>
      <c r="M609" s="11" t="n">
        <f aca="false">SUMPRODUCT((L609&gt;'Tax Tables'!$A$5:$A$17)*(L609-'Tax Tables'!$A$5:$A$17)*'Tax Tables'!$C$5:$C$17)</f>
        <v>39950</v>
      </c>
      <c r="N609" s="11" t="n">
        <f aca="false">IF(H609&lt;0,-1E+099,A609-E609-M609+J609+(E609+F609)*Calculator!$B$9)</f>
        <v>351805</v>
      </c>
      <c r="O609" s="2"/>
      <c r="P609" s="11" t="n">
        <f aca="false">596*$B$3</f>
        <v>298000</v>
      </c>
      <c r="Q609" s="11" t="n">
        <f aca="false">MIN(P609,'Tax Tables'!$B$31*'Tax Tables'!$B$32)</f>
        <v>96000</v>
      </c>
      <c r="R609" s="11" t="n">
        <f aca="false">P609-Q609</f>
        <v>202000</v>
      </c>
      <c r="S609" s="11" t="n">
        <f aca="false">IF(Calculator!$B$6="Yes",MIN(Q609,'Tax Tables'!$B$31*'Tax Tables'!$B$32),0)</f>
        <v>96000</v>
      </c>
      <c r="T609" s="11" t="n">
        <f aca="false">S609*Calculator!$B$7</f>
        <v>19200</v>
      </c>
      <c r="U609" s="11" t="n">
        <f aca="false">S609*Calculator!$B$8</f>
        <v>16320</v>
      </c>
      <c r="V609" s="11" t="n">
        <f aca="false">IF(Q609&gt;0,'Tax Tables'!$B$32*MIN(MAX(Q609/'Tax Tables'!$B$32*'Tax Tables'!$B$33,'Tax Tables'!$B$34),'Tax Tables'!$B$35),0)</f>
        <v>135</v>
      </c>
      <c r="W609" s="11" t="n">
        <f aca="false">Calculator!$B$5-P609-U609-V609</f>
        <v>85545</v>
      </c>
      <c r="X609" s="11" t="n">
        <f aca="false">'Tax Tables'!$B$22*(MAX(W609,0)-IF(Calculator!$B$10="Yes",MIN(MAX(W609,0),'Tax Tables'!$B$27)*'Tax Tables'!$B$28+MIN(MAX(MAX(W609,0)-'Tax Tables'!$B$27,0),'Tax Tables'!$B$29)*'Tax Tables'!$B$30,MIN(MAX(W609,0),'Tax Tables'!$B$23)*'Tax Tables'!$B$24+MIN(MAX(MAX(W609,0)-'Tax Tables'!$B$23,0),'Tax Tables'!$B$25)*'Tax Tables'!$B$26))*1-MIN('Tax Tables'!$B$22*(MAX(W609,0)-IF(Calculator!$B$10="Yes",MIN(MAX(W609,0),'Tax Tables'!$B$27)*'Tax Tables'!$B$28+MIN(MAX(MAX(W609,0)-'Tax Tables'!$B$27,0),'Tax Tables'!$B$29)*'Tax Tables'!$B$30,MIN(MAX(W609,0),'Tax Tables'!$B$23)*'Tax Tables'!$B$24+MIN(MAX(MAX(W609,0)-'Tax Tables'!$B$23,0),'Tax Tables'!$B$25)*'Tax Tables'!$B$26))*Calculator!$B$11,Calculator!$B$12)</f>
        <v>6846.325</v>
      </c>
      <c r="Y609" s="11" t="n">
        <f aca="false">MAX(W609,0)-X609</f>
        <v>78698.675</v>
      </c>
      <c r="Z609" s="11" t="n">
        <f aca="false">MIN(IF(P609&gt;0,Calculator!$B$13,0)+T609+Calculator!$B$14,'Tax Tables'!$B$36)</f>
        <v>20200</v>
      </c>
      <c r="AA609" s="11" t="n">
        <f aca="false">MAX(P609-Z609,0)</f>
        <v>277800</v>
      </c>
      <c r="AB609" s="11" t="n">
        <f aca="false">SUMPRODUCT((AA609&gt;'Tax Tables'!$A$5:$A$17)*(AA609-'Tax Tables'!$A$5:$A$17)*'Tax Tables'!$C$5:$C$17)</f>
        <v>36121</v>
      </c>
      <c r="AC609" s="11" t="n">
        <f aca="false">IF(W609&lt;0,-1E+099,P609-T609-AB609+Y609+(T609+U609)*Calculator!$B$9)</f>
        <v>356897.675</v>
      </c>
    </row>
    <row r="610" customFormat="false" ht="15" hidden="false" customHeight="false" outlineLevel="0" collapsed="false">
      <c r="A610" s="11" t="n">
        <f aca="false">597*$B$3</f>
        <v>298500</v>
      </c>
      <c r="B610" s="11" t="n">
        <f aca="false">0</f>
        <v>0</v>
      </c>
      <c r="C610" s="11" t="n">
        <f aca="false">A610-B610</f>
        <v>298500</v>
      </c>
      <c r="D610" s="11" t="n">
        <f aca="false">IF(Calculator!$B$6="Yes",MIN(B610,'Tax Tables'!$B$31*'Tax Tables'!$B$32),0)</f>
        <v>0</v>
      </c>
      <c r="E610" s="11" t="n">
        <f aca="false">D610*Calculator!$B$7</f>
        <v>0</v>
      </c>
      <c r="F610" s="11" t="n">
        <f aca="false">D610*Calculator!$B$8</f>
        <v>0</v>
      </c>
      <c r="G610" s="11" t="n">
        <f aca="false">IF(B610&gt;0,'Tax Tables'!$B$32*MIN(MAX(B610/'Tax Tables'!$B$32*'Tax Tables'!$B$33,'Tax Tables'!$B$34),'Tax Tables'!$B$35),0)</f>
        <v>0</v>
      </c>
      <c r="H610" s="11" t="n">
        <f aca="false">Calculator!$B$5-A610-F610-G610</f>
        <v>101500</v>
      </c>
      <c r="I610" s="11" t="n">
        <f aca="false">'Tax Tables'!$B$22*(MAX(H610,0)-IF(Calculator!$B$10="Yes",MIN(MAX(H610,0),'Tax Tables'!$B$27)*'Tax Tables'!$B$28+MIN(MAX(MAX(H610,0)-'Tax Tables'!$B$27,0),'Tax Tables'!$B$29)*'Tax Tables'!$B$30,MIN(MAX(H610,0),'Tax Tables'!$B$23)*'Tax Tables'!$B$24+MIN(MAX(MAX(H610,0)-'Tax Tables'!$B$23,0),'Tax Tables'!$B$25)*'Tax Tables'!$B$26))*1-MIN('Tax Tables'!$B$22*(MAX(H610,0)-IF(Calculator!$B$10="Yes",MIN(MAX(H610,0),'Tax Tables'!$B$27)*'Tax Tables'!$B$28+MIN(MAX(MAX(H610,0)-'Tax Tables'!$B$27,0),'Tax Tables'!$B$29)*'Tax Tables'!$B$30,MIN(MAX(H610,0),'Tax Tables'!$B$23)*'Tax Tables'!$B$24+MIN(MAX(MAX(H610,0)-'Tax Tables'!$B$23,0),'Tax Tables'!$B$25)*'Tax Tables'!$B$26))*Calculator!$B$11,Calculator!$B$12)</f>
        <v>8202.5</v>
      </c>
      <c r="J610" s="11" t="n">
        <f aca="false">MAX(H610,0)-I610</f>
        <v>93297.5</v>
      </c>
      <c r="K610" s="11" t="n">
        <f aca="false">MIN(IF(A610&gt;0,Calculator!$B$13,0)+E610+Calculator!$B$14,'Tax Tables'!$B$36)</f>
        <v>1000</v>
      </c>
      <c r="L610" s="11" t="n">
        <f aca="false">MAX(A610-K610,0)</f>
        <v>297500</v>
      </c>
      <c r="M610" s="11" t="n">
        <f aca="false">SUMPRODUCT((L610&gt;'Tax Tables'!$A$5:$A$17)*(L610-'Tax Tables'!$A$5:$A$17)*'Tax Tables'!$C$5:$C$17)</f>
        <v>40050</v>
      </c>
      <c r="N610" s="11" t="n">
        <f aca="false">IF(H610&lt;0,-1E+099,A610-E610-M610+J610+(E610+F610)*Calculator!$B$9)</f>
        <v>351747.5</v>
      </c>
      <c r="O610" s="2"/>
      <c r="P610" s="11" t="n">
        <f aca="false">597*$B$3</f>
        <v>298500</v>
      </c>
      <c r="Q610" s="11" t="n">
        <f aca="false">MIN(P610,'Tax Tables'!$B$31*'Tax Tables'!$B$32)</f>
        <v>96000</v>
      </c>
      <c r="R610" s="11" t="n">
        <f aca="false">P610-Q610</f>
        <v>202500</v>
      </c>
      <c r="S610" s="11" t="n">
        <f aca="false">IF(Calculator!$B$6="Yes",MIN(Q610,'Tax Tables'!$B$31*'Tax Tables'!$B$32),0)</f>
        <v>96000</v>
      </c>
      <c r="T610" s="11" t="n">
        <f aca="false">S610*Calculator!$B$7</f>
        <v>19200</v>
      </c>
      <c r="U610" s="11" t="n">
        <f aca="false">S610*Calculator!$B$8</f>
        <v>16320</v>
      </c>
      <c r="V610" s="11" t="n">
        <f aca="false">IF(Q610&gt;0,'Tax Tables'!$B$32*MIN(MAX(Q610/'Tax Tables'!$B$32*'Tax Tables'!$B$33,'Tax Tables'!$B$34),'Tax Tables'!$B$35),0)</f>
        <v>135</v>
      </c>
      <c r="W610" s="11" t="n">
        <f aca="false">Calculator!$B$5-P610-U610-V610</f>
        <v>85045</v>
      </c>
      <c r="X610" s="11" t="n">
        <f aca="false">'Tax Tables'!$B$22*(MAX(W610,0)-IF(Calculator!$B$10="Yes",MIN(MAX(W610,0),'Tax Tables'!$B$27)*'Tax Tables'!$B$28+MIN(MAX(MAX(W610,0)-'Tax Tables'!$B$27,0),'Tax Tables'!$B$29)*'Tax Tables'!$B$30,MIN(MAX(W610,0),'Tax Tables'!$B$23)*'Tax Tables'!$B$24+MIN(MAX(MAX(W610,0)-'Tax Tables'!$B$23,0),'Tax Tables'!$B$25)*'Tax Tables'!$B$26))*1-MIN('Tax Tables'!$B$22*(MAX(W610,0)-IF(Calculator!$B$10="Yes",MIN(MAX(W610,0),'Tax Tables'!$B$27)*'Tax Tables'!$B$28+MIN(MAX(MAX(W610,0)-'Tax Tables'!$B$27,0),'Tax Tables'!$B$29)*'Tax Tables'!$B$30,MIN(MAX(W610,0),'Tax Tables'!$B$23)*'Tax Tables'!$B$24+MIN(MAX(MAX(W610,0)-'Tax Tables'!$B$23,0),'Tax Tables'!$B$25)*'Tax Tables'!$B$26))*Calculator!$B$11,Calculator!$B$12)</f>
        <v>6803.825</v>
      </c>
      <c r="Y610" s="11" t="n">
        <f aca="false">MAX(W610,0)-X610</f>
        <v>78241.175</v>
      </c>
      <c r="Z610" s="11" t="n">
        <f aca="false">MIN(IF(P610&gt;0,Calculator!$B$13,0)+T610+Calculator!$B$14,'Tax Tables'!$B$36)</f>
        <v>20200</v>
      </c>
      <c r="AA610" s="11" t="n">
        <f aca="false">MAX(P610-Z610,0)</f>
        <v>278300</v>
      </c>
      <c r="AB610" s="11" t="n">
        <f aca="false">SUMPRODUCT((AA610&gt;'Tax Tables'!$A$5:$A$17)*(AA610-'Tax Tables'!$A$5:$A$17)*'Tax Tables'!$C$5:$C$17)</f>
        <v>36218.5</v>
      </c>
      <c r="AC610" s="11" t="n">
        <f aca="false">IF(W610&lt;0,-1E+099,P610-T610-AB610+Y610+(T610+U610)*Calculator!$B$9)</f>
        <v>356842.675</v>
      </c>
    </row>
    <row r="611" customFormat="false" ht="15" hidden="false" customHeight="false" outlineLevel="0" collapsed="false">
      <c r="A611" s="11" t="n">
        <f aca="false">598*$B$3</f>
        <v>299000</v>
      </c>
      <c r="B611" s="11" t="n">
        <f aca="false">0</f>
        <v>0</v>
      </c>
      <c r="C611" s="11" t="n">
        <f aca="false">A611-B611</f>
        <v>299000</v>
      </c>
      <c r="D611" s="11" t="n">
        <f aca="false">IF(Calculator!$B$6="Yes",MIN(B611,'Tax Tables'!$B$31*'Tax Tables'!$B$32),0)</f>
        <v>0</v>
      </c>
      <c r="E611" s="11" t="n">
        <f aca="false">D611*Calculator!$B$7</f>
        <v>0</v>
      </c>
      <c r="F611" s="11" t="n">
        <f aca="false">D611*Calculator!$B$8</f>
        <v>0</v>
      </c>
      <c r="G611" s="11" t="n">
        <f aca="false">IF(B611&gt;0,'Tax Tables'!$B$32*MIN(MAX(B611/'Tax Tables'!$B$32*'Tax Tables'!$B$33,'Tax Tables'!$B$34),'Tax Tables'!$B$35),0)</f>
        <v>0</v>
      </c>
      <c r="H611" s="11" t="n">
        <f aca="false">Calculator!$B$5-A611-F611-G611</f>
        <v>101000</v>
      </c>
      <c r="I611" s="11" t="n">
        <f aca="false">'Tax Tables'!$B$22*(MAX(H611,0)-IF(Calculator!$B$10="Yes",MIN(MAX(H611,0),'Tax Tables'!$B$27)*'Tax Tables'!$B$28+MIN(MAX(MAX(H611,0)-'Tax Tables'!$B$27,0),'Tax Tables'!$B$29)*'Tax Tables'!$B$30,MIN(MAX(H611,0),'Tax Tables'!$B$23)*'Tax Tables'!$B$24+MIN(MAX(MAX(H611,0)-'Tax Tables'!$B$23,0),'Tax Tables'!$B$25)*'Tax Tables'!$B$26))*1-MIN('Tax Tables'!$B$22*(MAX(H611,0)-IF(Calculator!$B$10="Yes",MIN(MAX(H611,0),'Tax Tables'!$B$27)*'Tax Tables'!$B$28+MIN(MAX(MAX(H611,0)-'Tax Tables'!$B$27,0),'Tax Tables'!$B$29)*'Tax Tables'!$B$30,MIN(MAX(H611,0),'Tax Tables'!$B$23)*'Tax Tables'!$B$24+MIN(MAX(MAX(H611,0)-'Tax Tables'!$B$23,0),'Tax Tables'!$B$25)*'Tax Tables'!$B$26))*Calculator!$B$11,Calculator!$B$12)</f>
        <v>8160</v>
      </c>
      <c r="J611" s="11" t="n">
        <f aca="false">MAX(H611,0)-I611</f>
        <v>92840</v>
      </c>
      <c r="K611" s="11" t="n">
        <f aca="false">MIN(IF(A611&gt;0,Calculator!$B$13,0)+E611+Calculator!$B$14,'Tax Tables'!$B$36)</f>
        <v>1000</v>
      </c>
      <c r="L611" s="11" t="n">
        <f aca="false">MAX(A611-K611,0)</f>
        <v>298000</v>
      </c>
      <c r="M611" s="11" t="n">
        <f aca="false">SUMPRODUCT((L611&gt;'Tax Tables'!$A$5:$A$17)*(L611-'Tax Tables'!$A$5:$A$17)*'Tax Tables'!$C$5:$C$17)</f>
        <v>40150</v>
      </c>
      <c r="N611" s="11" t="n">
        <f aca="false">IF(H611&lt;0,-1E+099,A611-E611-M611+J611+(E611+F611)*Calculator!$B$9)</f>
        <v>351690</v>
      </c>
      <c r="O611" s="2"/>
      <c r="P611" s="11" t="n">
        <f aca="false">598*$B$3</f>
        <v>299000</v>
      </c>
      <c r="Q611" s="11" t="n">
        <f aca="false">MIN(P611,'Tax Tables'!$B$31*'Tax Tables'!$B$32)</f>
        <v>96000</v>
      </c>
      <c r="R611" s="11" t="n">
        <f aca="false">P611-Q611</f>
        <v>203000</v>
      </c>
      <c r="S611" s="11" t="n">
        <f aca="false">IF(Calculator!$B$6="Yes",MIN(Q611,'Tax Tables'!$B$31*'Tax Tables'!$B$32),0)</f>
        <v>96000</v>
      </c>
      <c r="T611" s="11" t="n">
        <f aca="false">S611*Calculator!$B$7</f>
        <v>19200</v>
      </c>
      <c r="U611" s="11" t="n">
        <f aca="false">S611*Calculator!$B$8</f>
        <v>16320</v>
      </c>
      <c r="V611" s="11" t="n">
        <f aca="false">IF(Q611&gt;0,'Tax Tables'!$B$32*MIN(MAX(Q611/'Tax Tables'!$B$32*'Tax Tables'!$B$33,'Tax Tables'!$B$34),'Tax Tables'!$B$35),0)</f>
        <v>135</v>
      </c>
      <c r="W611" s="11" t="n">
        <f aca="false">Calculator!$B$5-P611-U611-V611</f>
        <v>84545</v>
      </c>
      <c r="X611" s="11" t="n">
        <f aca="false">'Tax Tables'!$B$22*(MAX(W611,0)-IF(Calculator!$B$10="Yes",MIN(MAX(W611,0),'Tax Tables'!$B$27)*'Tax Tables'!$B$28+MIN(MAX(MAX(W611,0)-'Tax Tables'!$B$27,0),'Tax Tables'!$B$29)*'Tax Tables'!$B$30,MIN(MAX(W611,0),'Tax Tables'!$B$23)*'Tax Tables'!$B$24+MIN(MAX(MAX(W611,0)-'Tax Tables'!$B$23,0),'Tax Tables'!$B$25)*'Tax Tables'!$B$26))*1-MIN('Tax Tables'!$B$22*(MAX(W611,0)-IF(Calculator!$B$10="Yes",MIN(MAX(W611,0),'Tax Tables'!$B$27)*'Tax Tables'!$B$28+MIN(MAX(MAX(W611,0)-'Tax Tables'!$B$27,0),'Tax Tables'!$B$29)*'Tax Tables'!$B$30,MIN(MAX(W611,0),'Tax Tables'!$B$23)*'Tax Tables'!$B$24+MIN(MAX(MAX(W611,0)-'Tax Tables'!$B$23,0),'Tax Tables'!$B$25)*'Tax Tables'!$B$26))*Calculator!$B$11,Calculator!$B$12)</f>
        <v>6761.325</v>
      </c>
      <c r="Y611" s="11" t="n">
        <f aca="false">MAX(W611,0)-X611</f>
        <v>77783.675</v>
      </c>
      <c r="Z611" s="11" t="n">
        <f aca="false">MIN(IF(P611&gt;0,Calculator!$B$13,0)+T611+Calculator!$B$14,'Tax Tables'!$B$36)</f>
        <v>20200</v>
      </c>
      <c r="AA611" s="11" t="n">
        <f aca="false">MAX(P611-Z611,0)</f>
        <v>278800</v>
      </c>
      <c r="AB611" s="11" t="n">
        <f aca="false">SUMPRODUCT((AA611&gt;'Tax Tables'!$A$5:$A$17)*(AA611-'Tax Tables'!$A$5:$A$17)*'Tax Tables'!$C$5:$C$17)</f>
        <v>36316</v>
      </c>
      <c r="AC611" s="11" t="n">
        <f aca="false">IF(W611&lt;0,-1E+099,P611-T611-AB611+Y611+(T611+U611)*Calculator!$B$9)</f>
        <v>356787.675</v>
      </c>
    </row>
    <row r="612" customFormat="false" ht="15" hidden="false" customHeight="false" outlineLevel="0" collapsed="false">
      <c r="A612" s="11" t="n">
        <f aca="false">599*$B$3</f>
        <v>299500</v>
      </c>
      <c r="B612" s="11" t="n">
        <f aca="false">0</f>
        <v>0</v>
      </c>
      <c r="C612" s="11" t="n">
        <f aca="false">A612-B612</f>
        <v>299500</v>
      </c>
      <c r="D612" s="11" t="n">
        <f aca="false">IF(Calculator!$B$6="Yes",MIN(B612,'Tax Tables'!$B$31*'Tax Tables'!$B$32),0)</f>
        <v>0</v>
      </c>
      <c r="E612" s="11" t="n">
        <f aca="false">D612*Calculator!$B$7</f>
        <v>0</v>
      </c>
      <c r="F612" s="11" t="n">
        <f aca="false">D612*Calculator!$B$8</f>
        <v>0</v>
      </c>
      <c r="G612" s="11" t="n">
        <f aca="false">IF(B612&gt;0,'Tax Tables'!$B$32*MIN(MAX(B612/'Tax Tables'!$B$32*'Tax Tables'!$B$33,'Tax Tables'!$B$34),'Tax Tables'!$B$35),0)</f>
        <v>0</v>
      </c>
      <c r="H612" s="11" t="n">
        <f aca="false">Calculator!$B$5-A612-F612-G612</f>
        <v>100500</v>
      </c>
      <c r="I612" s="11" t="n">
        <f aca="false">'Tax Tables'!$B$22*(MAX(H612,0)-IF(Calculator!$B$10="Yes",MIN(MAX(H612,0),'Tax Tables'!$B$27)*'Tax Tables'!$B$28+MIN(MAX(MAX(H612,0)-'Tax Tables'!$B$27,0),'Tax Tables'!$B$29)*'Tax Tables'!$B$30,MIN(MAX(H612,0),'Tax Tables'!$B$23)*'Tax Tables'!$B$24+MIN(MAX(MAX(H612,0)-'Tax Tables'!$B$23,0),'Tax Tables'!$B$25)*'Tax Tables'!$B$26))*1-MIN('Tax Tables'!$B$22*(MAX(H612,0)-IF(Calculator!$B$10="Yes",MIN(MAX(H612,0),'Tax Tables'!$B$27)*'Tax Tables'!$B$28+MIN(MAX(MAX(H612,0)-'Tax Tables'!$B$27,0),'Tax Tables'!$B$29)*'Tax Tables'!$B$30,MIN(MAX(H612,0),'Tax Tables'!$B$23)*'Tax Tables'!$B$24+MIN(MAX(MAX(H612,0)-'Tax Tables'!$B$23,0),'Tax Tables'!$B$25)*'Tax Tables'!$B$26))*Calculator!$B$11,Calculator!$B$12)</f>
        <v>8117.5</v>
      </c>
      <c r="J612" s="11" t="n">
        <f aca="false">MAX(H612,0)-I612</f>
        <v>92382.5</v>
      </c>
      <c r="K612" s="11" t="n">
        <f aca="false">MIN(IF(A612&gt;0,Calculator!$B$13,0)+E612+Calculator!$B$14,'Tax Tables'!$B$36)</f>
        <v>1000</v>
      </c>
      <c r="L612" s="11" t="n">
        <f aca="false">MAX(A612-K612,0)</f>
        <v>298500</v>
      </c>
      <c r="M612" s="11" t="n">
        <f aca="false">SUMPRODUCT((L612&gt;'Tax Tables'!$A$5:$A$17)*(L612-'Tax Tables'!$A$5:$A$17)*'Tax Tables'!$C$5:$C$17)</f>
        <v>40250</v>
      </c>
      <c r="N612" s="11" t="n">
        <f aca="false">IF(H612&lt;0,-1E+099,A612-E612-M612+J612+(E612+F612)*Calculator!$B$9)</f>
        <v>351632.5</v>
      </c>
      <c r="O612" s="2"/>
      <c r="P612" s="11" t="n">
        <f aca="false">599*$B$3</f>
        <v>299500</v>
      </c>
      <c r="Q612" s="11" t="n">
        <f aca="false">MIN(P612,'Tax Tables'!$B$31*'Tax Tables'!$B$32)</f>
        <v>96000</v>
      </c>
      <c r="R612" s="11" t="n">
        <f aca="false">P612-Q612</f>
        <v>203500</v>
      </c>
      <c r="S612" s="11" t="n">
        <f aca="false">IF(Calculator!$B$6="Yes",MIN(Q612,'Tax Tables'!$B$31*'Tax Tables'!$B$32),0)</f>
        <v>96000</v>
      </c>
      <c r="T612" s="11" t="n">
        <f aca="false">S612*Calculator!$B$7</f>
        <v>19200</v>
      </c>
      <c r="U612" s="11" t="n">
        <f aca="false">S612*Calculator!$B$8</f>
        <v>16320</v>
      </c>
      <c r="V612" s="11" t="n">
        <f aca="false">IF(Q612&gt;0,'Tax Tables'!$B$32*MIN(MAX(Q612/'Tax Tables'!$B$32*'Tax Tables'!$B$33,'Tax Tables'!$B$34),'Tax Tables'!$B$35),0)</f>
        <v>135</v>
      </c>
      <c r="W612" s="11" t="n">
        <f aca="false">Calculator!$B$5-P612-U612-V612</f>
        <v>84045</v>
      </c>
      <c r="X612" s="11" t="n">
        <f aca="false">'Tax Tables'!$B$22*(MAX(W612,0)-IF(Calculator!$B$10="Yes",MIN(MAX(W612,0),'Tax Tables'!$B$27)*'Tax Tables'!$B$28+MIN(MAX(MAX(W612,0)-'Tax Tables'!$B$27,0),'Tax Tables'!$B$29)*'Tax Tables'!$B$30,MIN(MAX(W612,0),'Tax Tables'!$B$23)*'Tax Tables'!$B$24+MIN(MAX(MAX(W612,0)-'Tax Tables'!$B$23,0),'Tax Tables'!$B$25)*'Tax Tables'!$B$26))*1-MIN('Tax Tables'!$B$22*(MAX(W612,0)-IF(Calculator!$B$10="Yes",MIN(MAX(W612,0),'Tax Tables'!$B$27)*'Tax Tables'!$B$28+MIN(MAX(MAX(W612,0)-'Tax Tables'!$B$27,0),'Tax Tables'!$B$29)*'Tax Tables'!$B$30,MIN(MAX(W612,0),'Tax Tables'!$B$23)*'Tax Tables'!$B$24+MIN(MAX(MAX(W612,0)-'Tax Tables'!$B$23,0),'Tax Tables'!$B$25)*'Tax Tables'!$B$26))*Calculator!$B$11,Calculator!$B$12)</f>
        <v>6718.825</v>
      </c>
      <c r="Y612" s="11" t="n">
        <f aca="false">MAX(W612,0)-X612</f>
        <v>77326.175</v>
      </c>
      <c r="Z612" s="11" t="n">
        <f aca="false">MIN(IF(P612&gt;0,Calculator!$B$13,0)+T612+Calculator!$B$14,'Tax Tables'!$B$36)</f>
        <v>20200</v>
      </c>
      <c r="AA612" s="11" t="n">
        <f aca="false">MAX(P612-Z612,0)</f>
        <v>279300</v>
      </c>
      <c r="AB612" s="11" t="n">
        <f aca="false">SUMPRODUCT((AA612&gt;'Tax Tables'!$A$5:$A$17)*(AA612-'Tax Tables'!$A$5:$A$17)*'Tax Tables'!$C$5:$C$17)</f>
        <v>36413.5</v>
      </c>
      <c r="AC612" s="11" t="n">
        <f aca="false">IF(W612&lt;0,-1E+099,P612-T612-AB612+Y612+(T612+U612)*Calculator!$B$9)</f>
        <v>356732.675</v>
      </c>
    </row>
    <row r="613" customFormat="false" ht="15" hidden="false" customHeight="false" outlineLevel="0" collapsed="false">
      <c r="A613" s="11" t="n">
        <f aca="false">600*$B$3</f>
        <v>300000</v>
      </c>
      <c r="B613" s="11" t="n">
        <f aca="false">0</f>
        <v>0</v>
      </c>
      <c r="C613" s="11" t="n">
        <f aca="false">A613-B613</f>
        <v>300000</v>
      </c>
      <c r="D613" s="11" t="n">
        <f aca="false">IF(Calculator!$B$6="Yes",MIN(B613,'Tax Tables'!$B$31*'Tax Tables'!$B$32),0)</f>
        <v>0</v>
      </c>
      <c r="E613" s="11" t="n">
        <f aca="false">D613*Calculator!$B$7</f>
        <v>0</v>
      </c>
      <c r="F613" s="11" t="n">
        <f aca="false">D613*Calculator!$B$8</f>
        <v>0</v>
      </c>
      <c r="G613" s="11" t="n">
        <f aca="false">IF(B613&gt;0,'Tax Tables'!$B$32*MIN(MAX(B613/'Tax Tables'!$B$32*'Tax Tables'!$B$33,'Tax Tables'!$B$34),'Tax Tables'!$B$35),0)</f>
        <v>0</v>
      </c>
      <c r="H613" s="11" t="n">
        <f aca="false">Calculator!$B$5-A613-F613-G613</f>
        <v>100000</v>
      </c>
      <c r="I613" s="11" t="n">
        <f aca="false">'Tax Tables'!$B$22*(MAX(H613,0)-IF(Calculator!$B$10="Yes",MIN(MAX(H613,0),'Tax Tables'!$B$27)*'Tax Tables'!$B$28+MIN(MAX(MAX(H613,0)-'Tax Tables'!$B$27,0),'Tax Tables'!$B$29)*'Tax Tables'!$B$30,MIN(MAX(H613,0),'Tax Tables'!$B$23)*'Tax Tables'!$B$24+MIN(MAX(MAX(H613,0)-'Tax Tables'!$B$23,0),'Tax Tables'!$B$25)*'Tax Tables'!$B$26))*1-MIN('Tax Tables'!$B$22*(MAX(H613,0)-IF(Calculator!$B$10="Yes",MIN(MAX(H613,0),'Tax Tables'!$B$27)*'Tax Tables'!$B$28+MIN(MAX(MAX(H613,0)-'Tax Tables'!$B$27,0),'Tax Tables'!$B$29)*'Tax Tables'!$B$30,MIN(MAX(H613,0),'Tax Tables'!$B$23)*'Tax Tables'!$B$24+MIN(MAX(MAX(H613,0)-'Tax Tables'!$B$23,0),'Tax Tables'!$B$25)*'Tax Tables'!$B$26))*Calculator!$B$11,Calculator!$B$12)</f>
        <v>8075</v>
      </c>
      <c r="J613" s="11" t="n">
        <f aca="false">MAX(H613,0)-I613</f>
        <v>91925</v>
      </c>
      <c r="K613" s="11" t="n">
        <f aca="false">MIN(IF(A613&gt;0,Calculator!$B$13,0)+E613+Calculator!$B$14,'Tax Tables'!$B$36)</f>
        <v>1000</v>
      </c>
      <c r="L613" s="11" t="n">
        <f aca="false">MAX(A613-K613,0)</f>
        <v>299000</v>
      </c>
      <c r="M613" s="11" t="n">
        <f aca="false">SUMPRODUCT((L613&gt;'Tax Tables'!$A$5:$A$17)*(L613-'Tax Tables'!$A$5:$A$17)*'Tax Tables'!$C$5:$C$17)</f>
        <v>40350</v>
      </c>
      <c r="N613" s="11" t="n">
        <f aca="false">IF(H613&lt;0,-1E+099,A613-E613-M613+J613+(E613+F613)*Calculator!$B$9)</f>
        <v>351575</v>
      </c>
      <c r="O613" s="2"/>
      <c r="P613" s="11" t="n">
        <f aca="false">600*$B$3</f>
        <v>300000</v>
      </c>
      <c r="Q613" s="11" t="n">
        <f aca="false">MIN(P613,'Tax Tables'!$B$31*'Tax Tables'!$B$32)</f>
        <v>96000</v>
      </c>
      <c r="R613" s="11" t="n">
        <f aca="false">P613-Q613</f>
        <v>204000</v>
      </c>
      <c r="S613" s="11" t="n">
        <f aca="false">IF(Calculator!$B$6="Yes",MIN(Q613,'Tax Tables'!$B$31*'Tax Tables'!$B$32),0)</f>
        <v>96000</v>
      </c>
      <c r="T613" s="11" t="n">
        <f aca="false">S613*Calculator!$B$7</f>
        <v>19200</v>
      </c>
      <c r="U613" s="11" t="n">
        <f aca="false">S613*Calculator!$B$8</f>
        <v>16320</v>
      </c>
      <c r="V613" s="11" t="n">
        <f aca="false">IF(Q613&gt;0,'Tax Tables'!$B$32*MIN(MAX(Q613/'Tax Tables'!$B$32*'Tax Tables'!$B$33,'Tax Tables'!$B$34),'Tax Tables'!$B$35),0)</f>
        <v>135</v>
      </c>
      <c r="W613" s="11" t="n">
        <f aca="false">Calculator!$B$5-P613-U613-V613</f>
        <v>83545</v>
      </c>
      <c r="X613" s="11" t="n">
        <f aca="false">'Tax Tables'!$B$22*(MAX(W613,0)-IF(Calculator!$B$10="Yes",MIN(MAX(W613,0),'Tax Tables'!$B$27)*'Tax Tables'!$B$28+MIN(MAX(MAX(W613,0)-'Tax Tables'!$B$27,0),'Tax Tables'!$B$29)*'Tax Tables'!$B$30,MIN(MAX(W613,0),'Tax Tables'!$B$23)*'Tax Tables'!$B$24+MIN(MAX(MAX(W613,0)-'Tax Tables'!$B$23,0),'Tax Tables'!$B$25)*'Tax Tables'!$B$26))*1-MIN('Tax Tables'!$B$22*(MAX(W613,0)-IF(Calculator!$B$10="Yes",MIN(MAX(W613,0),'Tax Tables'!$B$27)*'Tax Tables'!$B$28+MIN(MAX(MAX(W613,0)-'Tax Tables'!$B$27,0),'Tax Tables'!$B$29)*'Tax Tables'!$B$30,MIN(MAX(W613,0),'Tax Tables'!$B$23)*'Tax Tables'!$B$24+MIN(MAX(MAX(W613,0)-'Tax Tables'!$B$23,0),'Tax Tables'!$B$25)*'Tax Tables'!$B$26))*Calculator!$B$11,Calculator!$B$12)</f>
        <v>6676.325</v>
      </c>
      <c r="Y613" s="11" t="n">
        <f aca="false">MAX(W613,0)-X613</f>
        <v>76868.675</v>
      </c>
      <c r="Z613" s="11" t="n">
        <f aca="false">MIN(IF(P613&gt;0,Calculator!$B$13,0)+T613+Calculator!$B$14,'Tax Tables'!$B$36)</f>
        <v>20200</v>
      </c>
      <c r="AA613" s="11" t="n">
        <f aca="false">MAX(P613-Z613,0)</f>
        <v>279800</v>
      </c>
      <c r="AB613" s="11" t="n">
        <f aca="false">SUMPRODUCT((AA613&gt;'Tax Tables'!$A$5:$A$17)*(AA613-'Tax Tables'!$A$5:$A$17)*'Tax Tables'!$C$5:$C$17)</f>
        <v>36511</v>
      </c>
      <c r="AC613" s="11" t="n">
        <f aca="false">IF(W613&lt;0,-1E+099,P613-T613-AB613+Y613+(T613+U613)*Calculator!$B$9)</f>
        <v>356677.675</v>
      </c>
    </row>
    <row r="614" customFormat="false" ht="15" hidden="false" customHeight="false" outlineLevel="0" collapsed="false">
      <c r="A614" s="11" t="n">
        <f aca="false">601*$B$3</f>
        <v>300500</v>
      </c>
      <c r="B614" s="11" t="n">
        <f aca="false">0</f>
        <v>0</v>
      </c>
      <c r="C614" s="11" t="n">
        <f aca="false">A614-B614</f>
        <v>300500</v>
      </c>
      <c r="D614" s="11" t="n">
        <f aca="false">IF(Calculator!$B$6="Yes",MIN(B614,'Tax Tables'!$B$31*'Tax Tables'!$B$32),0)</f>
        <v>0</v>
      </c>
      <c r="E614" s="11" t="n">
        <f aca="false">D614*Calculator!$B$7</f>
        <v>0</v>
      </c>
      <c r="F614" s="11" t="n">
        <f aca="false">D614*Calculator!$B$8</f>
        <v>0</v>
      </c>
      <c r="G614" s="11" t="n">
        <f aca="false">IF(B614&gt;0,'Tax Tables'!$B$32*MIN(MAX(B614/'Tax Tables'!$B$32*'Tax Tables'!$B$33,'Tax Tables'!$B$34),'Tax Tables'!$B$35),0)</f>
        <v>0</v>
      </c>
      <c r="H614" s="11" t="n">
        <f aca="false">Calculator!$B$5-A614-F614-G614</f>
        <v>99500</v>
      </c>
      <c r="I614" s="11" t="n">
        <f aca="false">'Tax Tables'!$B$22*(MAX(H614,0)-IF(Calculator!$B$10="Yes",MIN(MAX(H614,0),'Tax Tables'!$B$27)*'Tax Tables'!$B$28+MIN(MAX(MAX(H614,0)-'Tax Tables'!$B$27,0),'Tax Tables'!$B$29)*'Tax Tables'!$B$30,MIN(MAX(H614,0),'Tax Tables'!$B$23)*'Tax Tables'!$B$24+MIN(MAX(MAX(H614,0)-'Tax Tables'!$B$23,0),'Tax Tables'!$B$25)*'Tax Tables'!$B$26))*1-MIN('Tax Tables'!$B$22*(MAX(H614,0)-IF(Calculator!$B$10="Yes",MIN(MAX(H614,0),'Tax Tables'!$B$27)*'Tax Tables'!$B$28+MIN(MAX(MAX(H614,0)-'Tax Tables'!$B$27,0),'Tax Tables'!$B$29)*'Tax Tables'!$B$30,MIN(MAX(H614,0),'Tax Tables'!$B$23)*'Tax Tables'!$B$24+MIN(MAX(MAX(H614,0)-'Tax Tables'!$B$23,0),'Tax Tables'!$B$25)*'Tax Tables'!$B$26))*Calculator!$B$11,Calculator!$B$12)</f>
        <v>8032.5</v>
      </c>
      <c r="J614" s="11" t="n">
        <f aca="false">MAX(H614,0)-I614</f>
        <v>91467.5</v>
      </c>
      <c r="K614" s="11" t="n">
        <f aca="false">MIN(IF(A614&gt;0,Calculator!$B$13,0)+E614+Calculator!$B$14,'Tax Tables'!$B$36)</f>
        <v>1000</v>
      </c>
      <c r="L614" s="11" t="n">
        <f aca="false">MAX(A614-K614,0)</f>
        <v>299500</v>
      </c>
      <c r="M614" s="11" t="n">
        <f aca="false">SUMPRODUCT((L614&gt;'Tax Tables'!$A$5:$A$17)*(L614-'Tax Tables'!$A$5:$A$17)*'Tax Tables'!$C$5:$C$17)</f>
        <v>40450</v>
      </c>
      <c r="N614" s="11" t="n">
        <f aca="false">IF(H614&lt;0,-1E+099,A614-E614-M614+J614+(E614+F614)*Calculator!$B$9)</f>
        <v>351517.5</v>
      </c>
      <c r="O614" s="2"/>
      <c r="P614" s="11" t="n">
        <f aca="false">601*$B$3</f>
        <v>300500</v>
      </c>
      <c r="Q614" s="11" t="n">
        <f aca="false">MIN(P614,'Tax Tables'!$B$31*'Tax Tables'!$B$32)</f>
        <v>96000</v>
      </c>
      <c r="R614" s="11" t="n">
        <f aca="false">P614-Q614</f>
        <v>204500</v>
      </c>
      <c r="S614" s="11" t="n">
        <f aca="false">IF(Calculator!$B$6="Yes",MIN(Q614,'Tax Tables'!$B$31*'Tax Tables'!$B$32),0)</f>
        <v>96000</v>
      </c>
      <c r="T614" s="11" t="n">
        <f aca="false">S614*Calculator!$B$7</f>
        <v>19200</v>
      </c>
      <c r="U614" s="11" t="n">
        <f aca="false">S614*Calculator!$B$8</f>
        <v>16320</v>
      </c>
      <c r="V614" s="11" t="n">
        <f aca="false">IF(Q614&gt;0,'Tax Tables'!$B$32*MIN(MAX(Q614/'Tax Tables'!$B$32*'Tax Tables'!$B$33,'Tax Tables'!$B$34),'Tax Tables'!$B$35),0)</f>
        <v>135</v>
      </c>
      <c r="W614" s="11" t="n">
        <f aca="false">Calculator!$B$5-P614-U614-V614</f>
        <v>83045</v>
      </c>
      <c r="X614" s="11" t="n">
        <f aca="false">'Tax Tables'!$B$22*(MAX(W614,0)-IF(Calculator!$B$10="Yes",MIN(MAX(W614,0),'Tax Tables'!$B$27)*'Tax Tables'!$B$28+MIN(MAX(MAX(W614,0)-'Tax Tables'!$B$27,0),'Tax Tables'!$B$29)*'Tax Tables'!$B$30,MIN(MAX(W614,0),'Tax Tables'!$B$23)*'Tax Tables'!$B$24+MIN(MAX(MAX(W614,0)-'Tax Tables'!$B$23,0),'Tax Tables'!$B$25)*'Tax Tables'!$B$26))*1-MIN('Tax Tables'!$B$22*(MAX(W614,0)-IF(Calculator!$B$10="Yes",MIN(MAX(W614,0),'Tax Tables'!$B$27)*'Tax Tables'!$B$28+MIN(MAX(MAX(W614,0)-'Tax Tables'!$B$27,0),'Tax Tables'!$B$29)*'Tax Tables'!$B$30,MIN(MAX(W614,0),'Tax Tables'!$B$23)*'Tax Tables'!$B$24+MIN(MAX(MAX(W614,0)-'Tax Tables'!$B$23,0),'Tax Tables'!$B$25)*'Tax Tables'!$B$26))*Calculator!$B$11,Calculator!$B$12)</f>
        <v>6633.825</v>
      </c>
      <c r="Y614" s="11" t="n">
        <f aca="false">MAX(W614,0)-X614</f>
        <v>76411.175</v>
      </c>
      <c r="Z614" s="11" t="n">
        <f aca="false">MIN(IF(P614&gt;0,Calculator!$B$13,0)+T614+Calculator!$B$14,'Tax Tables'!$B$36)</f>
        <v>20200</v>
      </c>
      <c r="AA614" s="11" t="n">
        <f aca="false">MAX(P614-Z614,0)</f>
        <v>280300</v>
      </c>
      <c r="AB614" s="11" t="n">
        <f aca="false">SUMPRODUCT((AA614&gt;'Tax Tables'!$A$5:$A$17)*(AA614-'Tax Tables'!$A$5:$A$17)*'Tax Tables'!$C$5:$C$17)</f>
        <v>36610</v>
      </c>
      <c r="AC614" s="11" t="n">
        <f aca="false">IF(W614&lt;0,-1E+099,P614-T614-AB614+Y614+(T614+U614)*Calculator!$B$9)</f>
        <v>356621.175</v>
      </c>
    </row>
    <row r="615" customFormat="false" ht="15" hidden="false" customHeight="false" outlineLevel="0" collapsed="false">
      <c r="A615" s="11" t="n">
        <f aca="false">602*$B$3</f>
        <v>301000</v>
      </c>
      <c r="B615" s="11" t="n">
        <f aca="false">0</f>
        <v>0</v>
      </c>
      <c r="C615" s="11" t="n">
        <f aca="false">A615-B615</f>
        <v>301000</v>
      </c>
      <c r="D615" s="11" t="n">
        <f aca="false">IF(Calculator!$B$6="Yes",MIN(B615,'Tax Tables'!$B$31*'Tax Tables'!$B$32),0)</f>
        <v>0</v>
      </c>
      <c r="E615" s="11" t="n">
        <f aca="false">D615*Calculator!$B$7</f>
        <v>0</v>
      </c>
      <c r="F615" s="11" t="n">
        <f aca="false">D615*Calculator!$B$8</f>
        <v>0</v>
      </c>
      <c r="G615" s="11" t="n">
        <f aca="false">IF(B615&gt;0,'Tax Tables'!$B$32*MIN(MAX(B615/'Tax Tables'!$B$32*'Tax Tables'!$B$33,'Tax Tables'!$B$34),'Tax Tables'!$B$35),0)</f>
        <v>0</v>
      </c>
      <c r="H615" s="11" t="n">
        <f aca="false">Calculator!$B$5-A615-F615-G615</f>
        <v>99000</v>
      </c>
      <c r="I615" s="11" t="n">
        <f aca="false">'Tax Tables'!$B$22*(MAX(H615,0)-IF(Calculator!$B$10="Yes",MIN(MAX(H615,0),'Tax Tables'!$B$27)*'Tax Tables'!$B$28+MIN(MAX(MAX(H615,0)-'Tax Tables'!$B$27,0),'Tax Tables'!$B$29)*'Tax Tables'!$B$30,MIN(MAX(H615,0),'Tax Tables'!$B$23)*'Tax Tables'!$B$24+MIN(MAX(MAX(H615,0)-'Tax Tables'!$B$23,0),'Tax Tables'!$B$25)*'Tax Tables'!$B$26))*1-MIN('Tax Tables'!$B$22*(MAX(H615,0)-IF(Calculator!$B$10="Yes",MIN(MAX(H615,0),'Tax Tables'!$B$27)*'Tax Tables'!$B$28+MIN(MAX(MAX(H615,0)-'Tax Tables'!$B$27,0),'Tax Tables'!$B$29)*'Tax Tables'!$B$30,MIN(MAX(H615,0),'Tax Tables'!$B$23)*'Tax Tables'!$B$24+MIN(MAX(MAX(H615,0)-'Tax Tables'!$B$23,0),'Tax Tables'!$B$25)*'Tax Tables'!$B$26))*Calculator!$B$11,Calculator!$B$12)</f>
        <v>7990</v>
      </c>
      <c r="J615" s="11" t="n">
        <f aca="false">MAX(H615,0)-I615</f>
        <v>91010</v>
      </c>
      <c r="K615" s="11" t="n">
        <f aca="false">MIN(IF(A615&gt;0,Calculator!$B$13,0)+E615+Calculator!$B$14,'Tax Tables'!$B$36)</f>
        <v>1000</v>
      </c>
      <c r="L615" s="11" t="n">
        <f aca="false">MAX(A615-K615,0)</f>
        <v>300000</v>
      </c>
      <c r="M615" s="11" t="n">
        <f aca="false">SUMPRODUCT((L615&gt;'Tax Tables'!$A$5:$A$17)*(L615-'Tax Tables'!$A$5:$A$17)*'Tax Tables'!$C$5:$C$17)</f>
        <v>40550</v>
      </c>
      <c r="N615" s="11" t="n">
        <f aca="false">IF(H615&lt;0,-1E+099,A615-E615-M615+J615+(E615+F615)*Calculator!$B$9)</f>
        <v>351460</v>
      </c>
      <c r="O615" s="2"/>
      <c r="P615" s="11" t="n">
        <f aca="false">602*$B$3</f>
        <v>301000</v>
      </c>
      <c r="Q615" s="11" t="n">
        <f aca="false">MIN(P615,'Tax Tables'!$B$31*'Tax Tables'!$B$32)</f>
        <v>96000</v>
      </c>
      <c r="R615" s="11" t="n">
        <f aca="false">P615-Q615</f>
        <v>205000</v>
      </c>
      <c r="S615" s="11" t="n">
        <f aca="false">IF(Calculator!$B$6="Yes",MIN(Q615,'Tax Tables'!$B$31*'Tax Tables'!$B$32),0)</f>
        <v>96000</v>
      </c>
      <c r="T615" s="11" t="n">
        <f aca="false">S615*Calculator!$B$7</f>
        <v>19200</v>
      </c>
      <c r="U615" s="11" t="n">
        <f aca="false">S615*Calculator!$B$8</f>
        <v>16320</v>
      </c>
      <c r="V615" s="11" t="n">
        <f aca="false">IF(Q615&gt;0,'Tax Tables'!$B$32*MIN(MAX(Q615/'Tax Tables'!$B$32*'Tax Tables'!$B$33,'Tax Tables'!$B$34),'Tax Tables'!$B$35),0)</f>
        <v>135</v>
      </c>
      <c r="W615" s="11" t="n">
        <f aca="false">Calculator!$B$5-P615-U615-V615</f>
        <v>82545</v>
      </c>
      <c r="X615" s="11" t="n">
        <f aca="false">'Tax Tables'!$B$22*(MAX(W615,0)-IF(Calculator!$B$10="Yes",MIN(MAX(W615,0),'Tax Tables'!$B$27)*'Tax Tables'!$B$28+MIN(MAX(MAX(W615,0)-'Tax Tables'!$B$27,0),'Tax Tables'!$B$29)*'Tax Tables'!$B$30,MIN(MAX(W615,0),'Tax Tables'!$B$23)*'Tax Tables'!$B$24+MIN(MAX(MAX(W615,0)-'Tax Tables'!$B$23,0),'Tax Tables'!$B$25)*'Tax Tables'!$B$26))*1-MIN('Tax Tables'!$B$22*(MAX(W615,0)-IF(Calculator!$B$10="Yes",MIN(MAX(W615,0),'Tax Tables'!$B$27)*'Tax Tables'!$B$28+MIN(MAX(MAX(W615,0)-'Tax Tables'!$B$27,0),'Tax Tables'!$B$29)*'Tax Tables'!$B$30,MIN(MAX(W615,0),'Tax Tables'!$B$23)*'Tax Tables'!$B$24+MIN(MAX(MAX(W615,0)-'Tax Tables'!$B$23,0),'Tax Tables'!$B$25)*'Tax Tables'!$B$26))*Calculator!$B$11,Calculator!$B$12)</f>
        <v>6591.325</v>
      </c>
      <c r="Y615" s="11" t="n">
        <f aca="false">MAX(W615,0)-X615</f>
        <v>75953.675</v>
      </c>
      <c r="Z615" s="11" t="n">
        <f aca="false">MIN(IF(P615&gt;0,Calculator!$B$13,0)+T615+Calculator!$B$14,'Tax Tables'!$B$36)</f>
        <v>20200</v>
      </c>
      <c r="AA615" s="11" t="n">
        <f aca="false">MAX(P615-Z615,0)</f>
        <v>280800</v>
      </c>
      <c r="AB615" s="11" t="n">
        <f aca="false">SUMPRODUCT((AA615&gt;'Tax Tables'!$A$5:$A$17)*(AA615-'Tax Tables'!$A$5:$A$17)*'Tax Tables'!$C$5:$C$17)</f>
        <v>36710</v>
      </c>
      <c r="AC615" s="11" t="n">
        <f aca="false">IF(W615&lt;0,-1E+099,P615-T615-AB615+Y615+(T615+U615)*Calculator!$B$9)</f>
        <v>356563.675</v>
      </c>
    </row>
    <row r="616" customFormat="false" ht="15" hidden="false" customHeight="false" outlineLevel="0" collapsed="false">
      <c r="A616" s="11" t="n">
        <f aca="false">603*$B$3</f>
        <v>301500</v>
      </c>
      <c r="B616" s="11" t="n">
        <f aca="false">0</f>
        <v>0</v>
      </c>
      <c r="C616" s="11" t="n">
        <f aca="false">A616-B616</f>
        <v>301500</v>
      </c>
      <c r="D616" s="11" t="n">
        <f aca="false">IF(Calculator!$B$6="Yes",MIN(B616,'Tax Tables'!$B$31*'Tax Tables'!$B$32),0)</f>
        <v>0</v>
      </c>
      <c r="E616" s="11" t="n">
        <f aca="false">D616*Calculator!$B$7</f>
        <v>0</v>
      </c>
      <c r="F616" s="11" t="n">
        <f aca="false">D616*Calculator!$B$8</f>
        <v>0</v>
      </c>
      <c r="G616" s="11" t="n">
        <f aca="false">IF(B616&gt;0,'Tax Tables'!$B$32*MIN(MAX(B616/'Tax Tables'!$B$32*'Tax Tables'!$B$33,'Tax Tables'!$B$34),'Tax Tables'!$B$35),0)</f>
        <v>0</v>
      </c>
      <c r="H616" s="11" t="n">
        <f aca="false">Calculator!$B$5-A616-F616-G616</f>
        <v>98500</v>
      </c>
      <c r="I616" s="11" t="n">
        <f aca="false">'Tax Tables'!$B$22*(MAX(H616,0)-IF(Calculator!$B$10="Yes",MIN(MAX(H616,0),'Tax Tables'!$B$27)*'Tax Tables'!$B$28+MIN(MAX(MAX(H616,0)-'Tax Tables'!$B$27,0),'Tax Tables'!$B$29)*'Tax Tables'!$B$30,MIN(MAX(H616,0),'Tax Tables'!$B$23)*'Tax Tables'!$B$24+MIN(MAX(MAX(H616,0)-'Tax Tables'!$B$23,0),'Tax Tables'!$B$25)*'Tax Tables'!$B$26))*1-MIN('Tax Tables'!$B$22*(MAX(H616,0)-IF(Calculator!$B$10="Yes",MIN(MAX(H616,0),'Tax Tables'!$B$27)*'Tax Tables'!$B$28+MIN(MAX(MAX(H616,0)-'Tax Tables'!$B$27,0),'Tax Tables'!$B$29)*'Tax Tables'!$B$30,MIN(MAX(H616,0),'Tax Tables'!$B$23)*'Tax Tables'!$B$24+MIN(MAX(MAX(H616,0)-'Tax Tables'!$B$23,0),'Tax Tables'!$B$25)*'Tax Tables'!$B$26))*Calculator!$B$11,Calculator!$B$12)</f>
        <v>7947.5</v>
      </c>
      <c r="J616" s="11" t="n">
        <f aca="false">MAX(H616,0)-I616</f>
        <v>90552.5</v>
      </c>
      <c r="K616" s="11" t="n">
        <f aca="false">MIN(IF(A616&gt;0,Calculator!$B$13,0)+E616+Calculator!$B$14,'Tax Tables'!$B$36)</f>
        <v>1000</v>
      </c>
      <c r="L616" s="11" t="n">
        <f aca="false">MAX(A616-K616,0)</f>
        <v>300500</v>
      </c>
      <c r="M616" s="11" t="n">
        <f aca="false">SUMPRODUCT((L616&gt;'Tax Tables'!$A$5:$A$17)*(L616-'Tax Tables'!$A$5:$A$17)*'Tax Tables'!$C$5:$C$17)</f>
        <v>40650</v>
      </c>
      <c r="N616" s="11" t="n">
        <f aca="false">IF(H616&lt;0,-1E+099,A616-E616-M616+J616+(E616+F616)*Calculator!$B$9)</f>
        <v>351402.5</v>
      </c>
      <c r="O616" s="2"/>
      <c r="P616" s="11" t="n">
        <f aca="false">603*$B$3</f>
        <v>301500</v>
      </c>
      <c r="Q616" s="11" t="n">
        <f aca="false">MIN(P616,'Tax Tables'!$B$31*'Tax Tables'!$B$32)</f>
        <v>96000</v>
      </c>
      <c r="R616" s="11" t="n">
        <f aca="false">P616-Q616</f>
        <v>205500</v>
      </c>
      <c r="S616" s="11" t="n">
        <f aca="false">IF(Calculator!$B$6="Yes",MIN(Q616,'Tax Tables'!$B$31*'Tax Tables'!$B$32),0)</f>
        <v>96000</v>
      </c>
      <c r="T616" s="11" t="n">
        <f aca="false">S616*Calculator!$B$7</f>
        <v>19200</v>
      </c>
      <c r="U616" s="11" t="n">
        <f aca="false">S616*Calculator!$B$8</f>
        <v>16320</v>
      </c>
      <c r="V616" s="11" t="n">
        <f aca="false">IF(Q616&gt;0,'Tax Tables'!$B$32*MIN(MAX(Q616/'Tax Tables'!$B$32*'Tax Tables'!$B$33,'Tax Tables'!$B$34),'Tax Tables'!$B$35),0)</f>
        <v>135</v>
      </c>
      <c r="W616" s="11" t="n">
        <f aca="false">Calculator!$B$5-P616-U616-V616</f>
        <v>82045</v>
      </c>
      <c r="X616" s="11" t="n">
        <f aca="false">'Tax Tables'!$B$22*(MAX(W616,0)-IF(Calculator!$B$10="Yes",MIN(MAX(W616,0),'Tax Tables'!$B$27)*'Tax Tables'!$B$28+MIN(MAX(MAX(W616,0)-'Tax Tables'!$B$27,0),'Tax Tables'!$B$29)*'Tax Tables'!$B$30,MIN(MAX(W616,0),'Tax Tables'!$B$23)*'Tax Tables'!$B$24+MIN(MAX(MAX(W616,0)-'Tax Tables'!$B$23,0),'Tax Tables'!$B$25)*'Tax Tables'!$B$26))*1-MIN('Tax Tables'!$B$22*(MAX(W616,0)-IF(Calculator!$B$10="Yes",MIN(MAX(W616,0),'Tax Tables'!$B$27)*'Tax Tables'!$B$28+MIN(MAX(MAX(W616,0)-'Tax Tables'!$B$27,0),'Tax Tables'!$B$29)*'Tax Tables'!$B$30,MIN(MAX(W616,0),'Tax Tables'!$B$23)*'Tax Tables'!$B$24+MIN(MAX(MAX(W616,0)-'Tax Tables'!$B$23,0),'Tax Tables'!$B$25)*'Tax Tables'!$B$26))*Calculator!$B$11,Calculator!$B$12)</f>
        <v>6548.825</v>
      </c>
      <c r="Y616" s="11" t="n">
        <f aca="false">MAX(W616,0)-X616</f>
        <v>75496.175</v>
      </c>
      <c r="Z616" s="11" t="n">
        <f aca="false">MIN(IF(P616&gt;0,Calculator!$B$13,0)+T616+Calculator!$B$14,'Tax Tables'!$B$36)</f>
        <v>20200</v>
      </c>
      <c r="AA616" s="11" t="n">
        <f aca="false">MAX(P616-Z616,0)</f>
        <v>281300</v>
      </c>
      <c r="AB616" s="11" t="n">
        <f aca="false">SUMPRODUCT((AA616&gt;'Tax Tables'!$A$5:$A$17)*(AA616-'Tax Tables'!$A$5:$A$17)*'Tax Tables'!$C$5:$C$17)</f>
        <v>36810</v>
      </c>
      <c r="AC616" s="11" t="n">
        <f aca="false">IF(W616&lt;0,-1E+099,P616-T616-AB616+Y616+(T616+U616)*Calculator!$B$9)</f>
        <v>356506.175</v>
      </c>
    </row>
    <row r="617" customFormat="false" ht="15" hidden="false" customHeight="false" outlineLevel="0" collapsed="false">
      <c r="A617" s="11" t="n">
        <f aca="false">604*$B$3</f>
        <v>302000</v>
      </c>
      <c r="B617" s="11" t="n">
        <f aca="false">0</f>
        <v>0</v>
      </c>
      <c r="C617" s="11" t="n">
        <f aca="false">A617-B617</f>
        <v>302000</v>
      </c>
      <c r="D617" s="11" t="n">
        <f aca="false">IF(Calculator!$B$6="Yes",MIN(B617,'Tax Tables'!$B$31*'Tax Tables'!$B$32),0)</f>
        <v>0</v>
      </c>
      <c r="E617" s="11" t="n">
        <f aca="false">D617*Calculator!$B$7</f>
        <v>0</v>
      </c>
      <c r="F617" s="11" t="n">
        <f aca="false">D617*Calculator!$B$8</f>
        <v>0</v>
      </c>
      <c r="G617" s="11" t="n">
        <f aca="false">IF(B617&gt;0,'Tax Tables'!$B$32*MIN(MAX(B617/'Tax Tables'!$B$32*'Tax Tables'!$B$33,'Tax Tables'!$B$34),'Tax Tables'!$B$35),0)</f>
        <v>0</v>
      </c>
      <c r="H617" s="11" t="n">
        <f aca="false">Calculator!$B$5-A617-F617-G617</f>
        <v>98000</v>
      </c>
      <c r="I617" s="11" t="n">
        <f aca="false">'Tax Tables'!$B$22*(MAX(H617,0)-IF(Calculator!$B$10="Yes",MIN(MAX(H617,0),'Tax Tables'!$B$27)*'Tax Tables'!$B$28+MIN(MAX(MAX(H617,0)-'Tax Tables'!$B$27,0),'Tax Tables'!$B$29)*'Tax Tables'!$B$30,MIN(MAX(H617,0),'Tax Tables'!$B$23)*'Tax Tables'!$B$24+MIN(MAX(MAX(H617,0)-'Tax Tables'!$B$23,0),'Tax Tables'!$B$25)*'Tax Tables'!$B$26))*1-MIN('Tax Tables'!$B$22*(MAX(H617,0)-IF(Calculator!$B$10="Yes",MIN(MAX(H617,0),'Tax Tables'!$B$27)*'Tax Tables'!$B$28+MIN(MAX(MAX(H617,0)-'Tax Tables'!$B$27,0),'Tax Tables'!$B$29)*'Tax Tables'!$B$30,MIN(MAX(H617,0),'Tax Tables'!$B$23)*'Tax Tables'!$B$24+MIN(MAX(MAX(H617,0)-'Tax Tables'!$B$23,0),'Tax Tables'!$B$25)*'Tax Tables'!$B$26))*Calculator!$B$11,Calculator!$B$12)</f>
        <v>7905</v>
      </c>
      <c r="J617" s="11" t="n">
        <f aca="false">MAX(H617,0)-I617</f>
        <v>90095</v>
      </c>
      <c r="K617" s="11" t="n">
        <f aca="false">MIN(IF(A617&gt;0,Calculator!$B$13,0)+E617+Calculator!$B$14,'Tax Tables'!$B$36)</f>
        <v>1000</v>
      </c>
      <c r="L617" s="11" t="n">
        <f aca="false">MAX(A617-K617,0)</f>
        <v>301000</v>
      </c>
      <c r="M617" s="11" t="n">
        <f aca="false">SUMPRODUCT((L617&gt;'Tax Tables'!$A$5:$A$17)*(L617-'Tax Tables'!$A$5:$A$17)*'Tax Tables'!$C$5:$C$17)</f>
        <v>40750</v>
      </c>
      <c r="N617" s="11" t="n">
        <f aca="false">IF(H617&lt;0,-1E+099,A617-E617-M617+J617+(E617+F617)*Calculator!$B$9)</f>
        <v>351345</v>
      </c>
      <c r="O617" s="2"/>
      <c r="P617" s="11" t="n">
        <f aca="false">604*$B$3</f>
        <v>302000</v>
      </c>
      <c r="Q617" s="11" t="n">
        <f aca="false">MIN(P617,'Tax Tables'!$B$31*'Tax Tables'!$B$32)</f>
        <v>96000</v>
      </c>
      <c r="R617" s="11" t="n">
        <f aca="false">P617-Q617</f>
        <v>206000</v>
      </c>
      <c r="S617" s="11" t="n">
        <f aca="false">IF(Calculator!$B$6="Yes",MIN(Q617,'Tax Tables'!$B$31*'Tax Tables'!$B$32),0)</f>
        <v>96000</v>
      </c>
      <c r="T617" s="11" t="n">
        <f aca="false">S617*Calculator!$B$7</f>
        <v>19200</v>
      </c>
      <c r="U617" s="11" t="n">
        <f aca="false">S617*Calculator!$B$8</f>
        <v>16320</v>
      </c>
      <c r="V617" s="11" t="n">
        <f aca="false">IF(Q617&gt;0,'Tax Tables'!$B$32*MIN(MAX(Q617/'Tax Tables'!$B$32*'Tax Tables'!$B$33,'Tax Tables'!$B$34),'Tax Tables'!$B$35),0)</f>
        <v>135</v>
      </c>
      <c r="W617" s="11" t="n">
        <f aca="false">Calculator!$B$5-P617-U617-V617</f>
        <v>81545</v>
      </c>
      <c r="X617" s="11" t="n">
        <f aca="false">'Tax Tables'!$B$22*(MAX(W617,0)-IF(Calculator!$B$10="Yes",MIN(MAX(W617,0),'Tax Tables'!$B$27)*'Tax Tables'!$B$28+MIN(MAX(MAX(W617,0)-'Tax Tables'!$B$27,0),'Tax Tables'!$B$29)*'Tax Tables'!$B$30,MIN(MAX(W617,0),'Tax Tables'!$B$23)*'Tax Tables'!$B$24+MIN(MAX(MAX(W617,0)-'Tax Tables'!$B$23,0),'Tax Tables'!$B$25)*'Tax Tables'!$B$26))*1-MIN('Tax Tables'!$B$22*(MAX(W617,0)-IF(Calculator!$B$10="Yes",MIN(MAX(W617,0),'Tax Tables'!$B$27)*'Tax Tables'!$B$28+MIN(MAX(MAX(W617,0)-'Tax Tables'!$B$27,0),'Tax Tables'!$B$29)*'Tax Tables'!$B$30,MIN(MAX(W617,0),'Tax Tables'!$B$23)*'Tax Tables'!$B$24+MIN(MAX(MAX(W617,0)-'Tax Tables'!$B$23,0),'Tax Tables'!$B$25)*'Tax Tables'!$B$26))*Calculator!$B$11,Calculator!$B$12)</f>
        <v>6506.325</v>
      </c>
      <c r="Y617" s="11" t="n">
        <f aca="false">MAX(W617,0)-X617</f>
        <v>75038.675</v>
      </c>
      <c r="Z617" s="11" t="n">
        <f aca="false">MIN(IF(P617&gt;0,Calculator!$B$13,0)+T617+Calculator!$B$14,'Tax Tables'!$B$36)</f>
        <v>20200</v>
      </c>
      <c r="AA617" s="11" t="n">
        <f aca="false">MAX(P617-Z617,0)</f>
        <v>281800</v>
      </c>
      <c r="AB617" s="11" t="n">
        <f aca="false">SUMPRODUCT((AA617&gt;'Tax Tables'!$A$5:$A$17)*(AA617-'Tax Tables'!$A$5:$A$17)*'Tax Tables'!$C$5:$C$17)</f>
        <v>36910</v>
      </c>
      <c r="AC617" s="11" t="n">
        <f aca="false">IF(W617&lt;0,-1E+099,P617-T617-AB617+Y617+(T617+U617)*Calculator!$B$9)</f>
        <v>356448.675</v>
      </c>
    </row>
    <row r="618" customFormat="false" ht="15" hidden="false" customHeight="false" outlineLevel="0" collapsed="false">
      <c r="A618" s="11" t="n">
        <f aca="false">605*$B$3</f>
        <v>302500</v>
      </c>
      <c r="B618" s="11" t="n">
        <f aca="false">0</f>
        <v>0</v>
      </c>
      <c r="C618" s="11" t="n">
        <f aca="false">A618-B618</f>
        <v>302500</v>
      </c>
      <c r="D618" s="11" t="n">
        <f aca="false">IF(Calculator!$B$6="Yes",MIN(B618,'Tax Tables'!$B$31*'Tax Tables'!$B$32),0)</f>
        <v>0</v>
      </c>
      <c r="E618" s="11" t="n">
        <f aca="false">D618*Calculator!$B$7</f>
        <v>0</v>
      </c>
      <c r="F618" s="11" t="n">
        <f aca="false">D618*Calculator!$B$8</f>
        <v>0</v>
      </c>
      <c r="G618" s="11" t="n">
        <f aca="false">IF(B618&gt;0,'Tax Tables'!$B$32*MIN(MAX(B618/'Tax Tables'!$B$32*'Tax Tables'!$B$33,'Tax Tables'!$B$34),'Tax Tables'!$B$35),0)</f>
        <v>0</v>
      </c>
      <c r="H618" s="11" t="n">
        <f aca="false">Calculator!$B$5-A618-F618-G618</f>
        <v>97500</v>
      </c>
      <c r="I618" s="11" t="n">
        <f aca="false">'Tax Tables'!$B$22*(MAX(H618,0)-IF(Calculator!$B$10="Yes",MIN(MAX(H618,0),'Tax Tables'!$B$27)*'Tax Tables'!$B$28+MIN(MAX(MAX(H618,0)-'Tax Tables'!$B$27,0),'Tax Tables'!$B$29)*'Tax Tables'!$B$30,MIN(MAX(H618,0),'Tax Tables'!$B$23)*'Tax Tables'!$B$24+MIN(MAX(MAX(H618,0)-'Tax Tables'!$B$23,0),'Tax Tables'!$B$25)*'Tax Tables'!$B$26))*1-MIN('Tax Tables'!$B$22*(MAX(H618,0)-IF(Calculator!$B$10="Yes",MIN(MAX(H618,0),'Tax Tables'!$B$27)*'Tax Tables'!$B$28+MIN(MAX(MAX(H618,0)-'Tax Tables'!$B$27,0),'Tax Tables'!$B$29)*'Tax Tables'!$B$30,MIN(MAX(H618,0),'Tax Tables'!$B$23)*'Tax Tables'!$B$24+MIN(MAX(MAX(H618,0)-'Tax Tables'!$B$23,0),'Tax Tables'!$B$25)*'Tax Tables'!$B$26))*Calculator!$B$11,Calculator!$B$12)</f>
        <v>7862.5</v>
      </c>
      <c r="J618" s="11" t="n">
        <f aca="false">MAX(H618,0)-I618</f>
        <v>89637.5</v>
      </c>
      <c r="K618" s="11" t="n">
        <f aca="false">MIN(IF(A618&gt;0,Calculator!$B$13,0)+E618+Calculator!$B$14,'Tax Tables'!$B$36)</f>
        <v>1000</v>
      </c>
      <c r="L618" s="11" t="n">
        <f aca="false">MAX(A618-K618,0)</f>
        <v>301500</v>
      </c>
      <c r="M618" s="11" t="n">
        <f aca="false">SUMPRODUCT((L618&gt;'Tax Tables'!$A$5:$A$17)*(L618-'Tax Tables'!$A$5:$A$17)*'Tax Tables'!$C$5:$C$17)</f>
        <v>40850</v>
      </c>
      <c r="N618" s="11" t="n">
        <f aca="false">IF(H618&lt;0,-1E+099,A618-E618-M618+J618+(E618+F618)*Calculator!$B$9)</f>
        <v>351287.5</v>
      </c>
      <c r="O618" s="2"/>
      <c r="P618" s="11" t="n">
        <f aca="false">605*$B$3</f>
        <v>302500</v>
      </c>
      <c r="Q618" s="11" t="n">
        <f aca="false">MIN(P618,'Tax Tables'!$B$31*'Tax Tables'!$B$32)</f>
        <v>96000</v>
      </c>
      <c r="R618" s="11" t="n">
        <f aca="false">P618-Q618</f>
        <v>206500</v>
      </c>
      <c r="S618" s="11" t="n">
        <f aca="false">IF(Calculator!$B$6="Yes",MIN(Q618,'Tax Tables'!$B$31*'Tax Tables'!$B$32),0)</f>
        <v>96000</v>
      </c>
      <c r="T618" s="11" t="n">
        <f aca="false">S618*Calculator!$B$7</f>
        <v>19200</v>
      </c>
      <c r="U618" s="11" t="n">
        <f aca="false">S618*Calculator!$B$8</f>
        <v>16320</v>
      </c>
      <c r="V618" s="11" t="n">
        <f aca="false">IF(Q618&gt;0,'Tax Tables'!$B$32*MIN(MAX(Q618/'Tax Tables'!$B$32*'Tax Tables'!$B$33,'Tax Tables'!$B$34),'Tax Tables'!$B$35),0)</f>
        <v>135</v>
      </c>
      <c r="W618" s="11" t="n">
        <f aca="false">Calculator!$B$5-P618-U618-V618</f>
        <v>81045</v>
      </c>
      <c r="X618" s="11" t="n">
        <f aca="false">'Tax Tables'!$B$22*(MAX(W618,0)-IF(Calculator!$B$10="Yes",MIN(MAX(W618,0),'Tax Tables'!$B$27)*'Tax Tables'!$B$28+MIN(MAX(MAX(W618,0)-'Tax Tables'!$B$27,0),'Tax Tables'!$B$29)*'Tax Tables'!$B$30,MIN(MAX(W618,0),'Tax Tables'!$B$23)*'Tax Tables'!$B$24+MIN(MAX(MAX(W618,0)-'Tax Tables'!$B$23,0),'Tax Tables'!$B$25)*'Tax Tables'!$B$26))*1-MIN('Tax Tables'!$B$22*(MAX(W618,0)-IF(Calculator!$B$10="Yes",MIN(MAX(W618,0),'Tax Tables'!$B$27)*'Tax Tables'!$B$28+MIN(MAX(MAX(W618,0)-'Tax Tables'!$B$27,0),'Tax Tables'!$B$29)*'Tax Tables'!$B$30,MIN(MAX(W618,0),'Tax Tables'!$B$23)*'Tax Tables'!$B$24+MIN(MAX(MAX(W618,0)-'Tax Tables'!$B$23,0),'Tax Tables'!$B$25)*'Tax Tables'!$B$26))*Calculator!$B$11,Calculator!$B$12)</f>
        <v>6463.825</v>
      </c>
      <c r="Y618" s="11" t="n">
        <f aca="false">MAX(W618,0)-X618</f>
        <v>74581.175</v>
      </c>
      <c r="Z618" s="11" t="n">
        <f aca="false">MIN(IF(P618&gt;0,Calculator!$B$13,0)+T618+Calculator!$B$14,'Tax Tables'!$B$36)</f>
        <v>20200</v>
      </c>
      <c r="AA618" s="11" t="n">
        <f aca="false">MAX(P618-Z618,0)</f>
        <v>282300</v>
      </c>
      <c r="AB618" s="11" t="n">
        <f aca="false">SUMPRODUCT((AA618&gt;'Tax Tables'!$A$5:$A$17)*(AA618-'Tax Tables'!$A$5:$A$17)*'Tax Tables'!$C$5:$C$17)</f>
        <v>37010</v>
      </c>
      <c r="AC618" s="11" t="n">
        <f aca="false">IF(W618&lt;0,-1E+099,P618-T618-AB618+Y618+(T618+U618)*Calculator!$B$9)</f>
        <v>356391.175</v>
      </c>
    </row>
    <row r="619" customFormat="false" ht="15" hidden="false" customHeight="false" outlineLevel="0" collapsed="false">
      <c r="A619" s="11" t="n">
        <f aca="false">606*$B$3</f>
        <v>303000</v>
      </c>
      <c r="B619" s="11" t="n">
        <f aca="false">0</f>
        <v>0</v>
      </c>
      <c r="C619" s="11" t="n">
        <f aca="false">A619-B619</f>
        <v>303000</v>
      </c>
      <c r="D619" s="11" t="n">
        <f aca="false">IF(Calculator!$B$6="Yes",MIN(B619,'Tax Tables'!$B$31*'Tax Tables'!$B$32),0)</f>
        <v>0</v>
      </c>
      <c r="E619" s="11" t="n">
        <f aca="false">D619*Calculator!$B$7</f>
        <v>0</v>
      </c>
      <c r="F619" s="11" t="n">
        <f aca="false">D619*Calculator!$B$8</f>
        <v>0</v>
      </c>
      <c r="G619" s="11" t="n">
        <f aca="false">IF(B619&gt;0,'Tax Tables'!$B$32*MIN(MAX(B619/'Tax Tables'!$B$32*'Tax Tables'!$B$33,'Tax Tables'!$B$34),'Tax Tables'!$B$35),0)</f>
        <v>0</v>
      </c>
      <c r="H619" s="11" t="n">
        <f aca="false">Calculator!$B$5-A619-F619-G619</f>
        <v>97000</v>
      </c>
      <c r="I619" s="11" t="n">
        <f aca="false">'Tax Tables'!$B$22*(MAX(H619,0)-IF(Calculator!$B$10="Yes",MIN(MAX(H619,0),'Tax Tables'!$B$27)*'Tax Tables'!$B$28+MIN(MAX(MAX(H619,0)-'Tax Tables'!$B$27,0),'Tax Tables'!$B$29)*'Tax Tables'!$B$30,MIN(MAX(H619,0),'Tax Tables'!$B$23)*'Tax Tables'!$B$24+MIN(MAX(MAX(H619,0)-'Tax Tables'!$B$23,0),'Tax Tables'!$B$25)*'Tax Tables'!$B$26))*1-MIN('Tax Tables'!$B$22*(MAX(H619,0)-IF(Calculator!$B$10="Yes",MIN(MAX(H619,0),'Tax Tables'!$B$27)*'Tax Tables'!$B$28+MIN(MAX(MAX(H619,0)-'Tax Tables'!$B$27,0),'Tax Tables'!$B$29)*'Tax Tables'!$B$30,MIN(MAX(H619,0),'Tax Tables'!$B$23)*'Tax Tables'!$B$24+MIN(MAX(MAX(H619,0)-'Tax Tables'!$B$23,0),'Tax Tables'!$B$25)*'Tax Tables'!$B$26))*Calculator!$B$11,Calculator!$B$12)</f>
        <v>7820</v>
      </c>
      <c r="J619" s="11" t="n">
        <f aca="false">MAX(H619,0)-I619</f>
        <v>89180</v>
      </c>
      <c r="K619" s="11" t="n">
        <f aca="false">MIN(IF(A619&gt;0,Calculator!$B$13,0)+E619+Calculator!$B$14,'Tax Tables'!$B$36)</f>
        <v>1000</v>
      </c>
      <c r="L619" s="11" t="n">
        <f aca="false">MAX(A619-K619,0)</f>
        <v>302000</v>
      </c>
      <c r="M619" s="11" t="n">
        <f aca="false">SUMPRODUCT((L619&gt;'Tax Tables'!$A$5:$A$17)*(L619-'Tax Tables'!$A$5:$A$17)*'Tax Tables'!$C$5:$C$17)</f>
        <v>40950</v>
      </c>
      <c r="N619" s="11" t="n">
        <f aca="false">IF(H619&lt;0,-1E+099,A619-E619-M619+J619+(E619+F619)*Calculator!$B$9)</f>
        <v>351230</v>
      </c>
      <c r="O619" s="2"/>
      <c r="P619" s="11" t="n">
        <f aca="false">606*$B$3</f>
        <v>303000</v>
      </c>
      <c r="Q619" s="11" t="n">
        <f aca="false">MIN(P619,'Tax Tables'!$B$31*'Tax Tables'!$B$32)</f>
        <v>96000</v>
      </c>
      <c r="R619" s="11" t="n">
        <f aca="false">P619-Q619</f>
        <v>207000</v>
      </c>
      <c r="S619" s="11" t="n">
        <f aca="false">IF(Calculator!$B$6="Yes",MIN(Q619,'Tax Tables'!$B$31*'Tax Tables'!$B$32),0)</f>
        <v>96000</v>
      </c>
      <c r="T619" s="11" t="n">
        <f aca="false">S619*Calculator!$B$7</f>
        <v>19200</v>
      </c>
      <c r="U619" s="11" t="n">
        <f aca="false">S619*Calculator!$B$8</f>
        <v>16320</v>
      </c>
      <c r="V619" s="11" t="n">
        <f aca="false">IF(Q619&gt;0,'Tax Tables'!$B$32*MIN(MAX(Q619/'Tax Tables'!$B$32*'Tax Tables'!$B$33,'Tax Tables'!$B$34),'Tax Tables'!$B$35),0)</f>
        <v>135</v>
      </c>
      <c r="W619" s="11" t="n">
        <f aca="false">Calculator!$B$5-P619-U619-V619</f>
        <v>80545</v>
      </c>
      <c r="X619" s="11" t="n">
        <f aca="false">'Tax Tables'!$B$22*(MAX(W619,0)-IF(Calculator!$B$10="Yes",MIN(MAX(W619,0),'Tax Tables'!$B$27)*'Tax Tables'!$B$28+MIN(MAX(MAX(W619,0)-'Tax Tables'!$B$27,0),'Tax Tables'!$B$29)*'Tax Tables'!$B$30,MIN(MAX(W619,0),'Tax Tables'!$B$23)*'Tax Tables'!$B$24+MIN(MAX(MAX(W619,0)-'Tax Tables'!$B$23,0),'Tax Tables'!$B$25)*'Tax Tables'!$B$26))*1-MIN('Tax Tables'!$B$22*(MAX(W619,0)-IF(Calculator!$B$10="Yes",MIN(MAX(W619,0),'Tax Tables'!$B$27)*'Tax Tables'!$B$28+MIN(MAX(MAX(W619,0)-'Tax Tables'!$B$27,0),'Tax Tables'!$B$29)*'Tax Tables'!$B$30,MIN(MAX(W619,0),'Tax Tables'!$B$23)*'Tax Tables'!$B$24+MIN(MAX(MAX(W619,0)-'Tax Tables'!$B$23,0),'Tax Tables'!$B$25)*'Tax Tables'!$B$26))*Calculator!$B$11,Calculator!$B$12)</f>
        <v>6421.325</v>
      </c>
      <c r="Y619" s="11" t="n">
        <f aca="false">MAX(W619,0)-X619</f>
        <v>74123.675</v>
      </c>
      <c r="Z619" s="11" t="n">
        <f aca="false">MIN(IF(P619&gt;0,Calculator!$B$13,0)+T619+Calculator!$B$14,'Tax Tables'!$B$36)</f>
        <v>20200</v>
      </c>
      <c r="AA619" s="11" t="n">
        <f aca="false">MAX(P619-Z619,0)</f>
        <v>282800</v>
      </c>
      <c r="AB619" s="11" t="n">
        <f aca="false">SUMPRODUCT((AA619&gt;'Tax Tables'!$A$5:$A$17)*(AA619-'Tax Tables'!$A$5:$A$17)*'Tax Tables'!$C$5:$C$17)</f>
        <v>37110</v>
      </c>
      <c r="AC619" s="11" t="n">
        <f aca="false">IF(W619&lt;0,-1E+099,P619-T619-AB619+Y619+(T619+U619)*Calculator!$B$9)</f>
        <v>356333.675</v>
      </c>
    </row>
    <row r="620" customFormat="false" ht="15" hidden="false" customHeight="false" outlineLevel="0" collapsed="false">
      <c r="A620" s="11" t="n">
        <f aca="false">607*$B$3</f>
        <v>303500</v>
      </c>
      <c r="B620" s="11" t="n">
        <f aca="false">0</f>
        <v>0</v>
      </c>
      <c r="C620" s="11" t="n">
        <f aca="false">A620-B620</f>
        <v>303500</v>
      </c>
      <c r="D620" s="11" t="n">
        <f aca="false">IF(Calculator!$B$6="Yes",MIN(B620,'Tax Tables'!$B$31*'Tax Tables'!$B$32),0)</f>
        <v>0</v>
      </c>
      <c r="E620" s="11" t="n">
        <f aca="false">D620*Calculator!$B$7</f>
        <v>0</v>
      </c>
      <c r="F620" s="11" t="n">
        <f aca="false">D620*Calculator!$B$8</f>
        <v>0</v>
      </c>
      <c r="G620" s="11" t="n">
        <f aca="false">IF(B620&gt;0,'Tax Tables'!$B$32*MIN(MAX(B620/'Tax Tables'!$B$32*'Tax Tables'!$B$33,'Tax Tables'!$B$34),'Tax Tables'!$B$35),0)</f>
        <v>0</v>
      </c>
      <c r="H620" s="11" t="n">
        <f aca="false">Calculator!$B$5-A620-F620-G620</f>
        <v>96500</v>
      </c>
      <c r="I620" s="11" t="n">
        <f aca="false">'Tax Tables'!$B$22*(MAX(H620,0)-IF(Calculator!$B$10="Yes",MIN(MAX(H620,0),'Tax Tables'!$B$27)*'Tax Tables'!$B$28+MIN(MAX(MAX(H620,0)-'Tax Tables'!$B$27,0),'Tax Tables'!$B$29)*'Tax Tables'!$B$30,MIN(MAX(H620,0),'Tax Tables'!$B$23)*'Tax Tables'!$B$24+MIN(MAX(MAX(H620,0)-'Tax Tables'!$B$23,0),'Tax Tables'!$B$25)*'Tax Tables'!$B$26))*1-MIN('Tax Tables'!$B$22*(MAX(H620,0)-IF(Calculator!$B$10="Yes",MIN(MAX(H620,0),'Tax Tables'!$B$27)*'Tax Tables'!$B$28+MIN(MAX(MAX(H620,0)-'Tax Tables'!$B$27,0),'Tax Tables'!$B$29)*'Tax Tables'!$B$30,MIN(MAX(H620,0),'Tax Tables'!$B$23)*'Tax Tables'!$B$24+MIN(MAX(MAX(H620,0)-'Tax Tables'!$B$23,0),'Tax Tables'!$B$25)*'Tax Tables'!$B$26))*Calculator!$B$11,Calculator!$B$12)</f>
        <v>7777.5</v>
      </c>
      <c r="J620" s="11" t="n">
        <f aca="false">MAX(H620,0)-I620</f>
        <v>88722.5</v>
      </c>
      <c r="K620" s="11" t="n">
        <f aca="false">MIN(IF(A620&gt;0,Calculator!$B$13,0)+E620+Calculator!$B$14,'Tax Tables'!$B$36)</f>
        <v>1000</v>
      </c>
      <c r="L620" s="11" t="n">
        <f aca="false">MAX(A620-K620,0)</f>
        <v>302500</v>
      </c>
      <c r="M620" s="11" t="n">
        <f aca="false">SUMPRODUCT((L620&gt;'Tax Tables'!$A$5:$A$17)*(L620-'Tax Tables'!$A$5:$A$17)*'Tax Tables'!$C$5:$C$17)</f>
        <v>41050</v>
      </c>
      <c r="N620" s="11" t="n">
        <f aca="false">IF(H620&lt;0,-1E+099,A620-E620-M620+J620+(E620+F620)*Calculator!$B$9)</f>
        <v>351172.5</v>
      </c>
      <c r="O620" s="2"/>
      <c r="P620" s="11" t="n">
        <f aca="false">607*$B$3</f>
        <v>303500</v>
      </c>
      <c r="Q620" s="11" t="n">
        <f aca="false">MIN(P620,'Tax Tables'!$B$31*'Tax Tables'!$B$32)</f>
        <v>96000</v>
      </c>
      <c r="R620" s="11" t="n">
        <f aca="false">P620-Q620</f>
        <v>207500</v>
      </c>
      <c r="S620" s="11" t="n">
        <f aca="false">IF(Calculator!$B$6="Yes",MIN(Q620,'Tax Tables'!$B$31*'Tax Tables'!$B$32),0)</f>
        <v>96000</v>
      </c>
      <c r="T620" s="11" t="n">
        <f aca="false">S620*Calculator!$B$7</f>
        <v>19200</v>
      </c>
      <c r="U620" s="11" t="n">
        <f aca="false">S620*Calculator!$B$8</f>
        <v>16320</v>
      </c>
      <c r="V620" s="11" t="n">
        <f aca="false">IF(Q620&gt;0,'Tax Tables'!$B$32*MIN(MAX(Q620/'Tax Tables'!$B$32*'Tax Tables'!$B$33,'Tax Tables'!$B$34),'Tax Tables'!$B$35),0)</f>
        <v>135</v>
      </c>
      <c r="W620" s="11" t="n">
        <f aca="false">Calculator!$B$5-P620-U620-V620</f>
        <v>80045</v>
      </c>
      <c r="X620" s="11" t="n">
        <f aca="false">'Tax Tables'!$B$22*(MAX(W620,0)-IF(Calculator!$B$10="Yes",MIN(MAX(W620,0),'Tax Tables'!$B$27)*'Tax Tables'!$B$28+MIN(MAX(MAX(W620,0)-'Tax Tables'!$B$27,0),'Tax Tables'!$B$29)*'Tax Tables'!$B$30,MIN(MAX(W620,0),'Tax Tables'!$B$23)*'Tax Tables'!$B$24+MIN(MAX(MAX(W620,0)-'Tax Tables'!$B$23,0),'Tax Tables'!$B$25)*'Tax Tables'!$B$26))*1-MIN('Tax Tables'!$B$22*(MAX(W620,0)-IF(Calculator!$B$10="Yes",MIN(MAX(W620,0),'Tax Tables'!$B$27)*'Tax Tables'!$B$28+MIN(MAX(MAX(W620,0)-'Tax Tables'!$B$27,0),'Tax Tables'!$B$29)*'Tax Tables'!$B$30,MIN(MAX(W620,0),'Tax Tables'!$B$23)*'Tax Tables'!$B$24+MIN(MAX(MAX(W620,0)-'Tax Tables'!$B$23,0),'Tax Tables'!$B$25)*'Tax Tables'!$B$26))*Calculator!$B$11,Calculator!$B$12)</f>
        <v>6378.825</v>
      </c>
      <c r="Y620" s="11" t="n">
        <f aca="false">MAX(W620,0)-X620</f>
        <v>73666.175</v>
      </c>
      <c r="Z620" s="11" t="n">
        <f aca="false">MIN(IF(P620&gt;0,Calculator!$B$13,0)+T620+Calculator!$B$14,'Tax Tables'!$B$36)</f>
        <v>20200</v>
      </c>
      <c r="AA620" s="11" t="n">
        <f aca="false">MAX(P620-Z620,0)</f>
        <v>283300</v>
      </c>
      <c r="AB620" s="11" t="n">
        <f aca="false">SUMPRODUCT((AA620&gt;'Tax Tables'!$A$5:$A$17)*(AA620-'Tax Tables'!$A$5:$A$17)*'Tax Tables'!$C$5:$C$17)</f>
        <v>37210</v>
      </c>
      <c r="AC620" s="11" t="n">
        <f aca="false">IF(W620&lt;0,-1E+099,P620-T620-AB620+Y620+(T620+U620)*Calculator!$B$9)</f>
        <v>356276.175</v>
      </c>
    </row>
    <row r="621" customFormat="false" ht="15" hidden="false" customHeight="false" outlineLevel="0" collapsed="false">
      <c r="A621" s="11" t="n">
        <f aca="false">608*$B$3</f>
        <v>304000</v>
      </c>
      <c r="B621" s="11" t="n">
        <f aca="false">0</f>
        <v>0</v>
      </c>
      <c r="C621" s="11" t="n">
        <f aca="false">A621-B621</f>
        <v>304000</v>
      </c>
      <c r="D621" s="11" t="n">
        <f aca="false">IF(Calculator!$B$6="Yes",MIN(B621,'Tax Tables'!$B$31*'Tax Tables'!$B$32),0)</f>
        <v>0</v>
      </c>
      <c r="E621" s="11" t="n">
        <f aca="false">D621*Calculator!$B$7</f>
        <v>0</v>
      </c>
      <c r="F621" s="11" t="n">
        <f aca="false">D621*Calculator!$B$8</f>
        <v>0</v>
      </c>
      <c r="G621" s="11" t="n">
        <f aca="false">IF(B621&gt;0,'Tax Tables'!$B$32*MIN(MAX(B621/'Tax Tables'!$B$32*'Tax Tables'!$B$33,'Tax Tables'!$B$34),'Tax Tables'!$B$35),0)</f>
        <v>0</v>
      </c>
      <c r="H621" s="11" t="n">
        <f aca="false">Calculator!$B$5-A621-F621-G621</f>
        <v>96000</v>
      </c>
      <c r="I621" s="11" t="n">
        <f aca="false">'Tax Tables'!$B$22*(MAX(H621,0)-IF(Calculator!$B$10="Yes",MIN(MAX(H621,0),'Tax Tables'!$B$27)*'Tax Tables'!$B$28+MIN(MAX(MAX(H621,0)-'Tax Tables'!$B$27,0),'Tax Tables'!$B$29)*'Tax Tables'!$B$30,MIN(MAX(H621,0),'Tax Tables'!$B$23)*'Tax Tables'!$B$24+MIN(MAX(MAX(H621,0)-'Tax Tables'!$B$23,0),'Tax Tables'!$B$25)*'Tax Tables'!$B$26))*1-MIN('Tax Tables'!$B$22*(MAX(H621,0)-IF(Calculator!$B$10="Yes",MIN(MAX(H621,0),'Tax Tables'!$B$27)*'Tax Tables'!$B$28+MIN(MAX(MAX(H621,0)-'Tax Tables'!$B$27,0),'Tax Tables'!$B$29)*'Tax Tables'!$B$30,MIN(MAX(H621,0),'Tax Tables'!$B$23)*'Tax Tables'!$B$24+MIN(MAX(MAX(H621,0)-'Tax Tables'!$B$23,0),'Tax Tables'!$B$25)*'Tax Tables'!$B$26))*Calculator!$B$11,Calculator!$B$12)</f>
        <v>7735</v>
      </c>
      <c r="J621" s="11" t="n">
        <f aca="false">MAX(H621,0)-I621</f>
        <v>88265</v>
      </c>
      <c r="K621" s="11" t="n">
        <f aca="false">MIN(IF(A621&gt;0,Calculator!$B$13,0)+E621+Calculator!$B$14,'Tax Tables'!$B$36)</f>
        <v>1000</v>
      </c>
      <c r="L621" s="11" t="n">
        <f aca="false">MAX(A621-K621,0)</f>
        <v>303000</v>
      </c>
      <c r="M621" s="11" t="n">
        <f aca="false">SUMPRODUCT((L621&gt;'Tax Tables'!$A$5:$A$17)*(L621-'Tax Tables'!$A$5:$A$17)*'Tax Tables'!$C$5:$C$17)</f>
        <v>41150</v>
      </c>
      <c r="N621" s="11" t="n">
        <f aca="false">IF(H621&lt;0,-1E+099,A621-E621-M621+J621+(E621+F621)*Calculator!$B$9)</f>
        <v>351115</v>
      </c>
      <c r="O621" s="2"/>
      <c r="P621" s="11" t="n">
        <f aca="false">608*$B$3</f>
        <v>304000</v>
      </c>
      <c r="Q621" s="11" t="n">
        <f aca="false">MIN(P621,'Tax Tables'!$B$31*'Tax Tables'!$B$32)</f>
        <v>96000</v>
      </c>
      <c r="R621" s="11" t="n">
        <f aca="false">P621-Q621</f>
        <v>208000</v>
      </c>
      <c r="S621" s="11" t="n">
        <f aca="false">IF(Calculator!$B$6="Yes",MIN(Q621,'Tax Tables'!$B$31*'Tax Tables'!$B$32),0)</f>
        <v>96000</v>
      </c>
      <c r="T621" s="11" t="n">
        <f aca="false">S621*Calculator!$B$7</f>
        <v>19200</v>
      </c>
      <c r="U621" s="11" t="n">
        <f aca="false">S621*Calculator!$B$8</f>
        <v>16320</v>
      </c>
      <c r="V621" s="11" t="n">
        <f aca="false">IF(Q621&gt;0,'Tax Tables'!$B$32*MIN(MAX(Q621/'Tax Tables'!$B$32*'Tax Tables'!$B$33,'Tax Tables'!$B$34),'Tax Tables'!$B$35),0)</f>
        <v>135</v>
      </c>
      <c r="W621" s="11" t="n">
        <f aca="false">Calculator!$B$5-P621-U621-V621</f>
        <v>79545</v>
      </c>
      <c r="X621" s="11" t="n">
        <f aca="false">'Tax Tables'!$B$22*(MAX(W621,0)-IF(Calculator!$B$10="Yes",MIN(MAX(W621,0),'Tax Tables'!$B$27)*'Tax Tables'!$B$28+MIN(MAX(MAX(W621,0)-'Tax Tables'!$B$27,0),'Tax Tables'!$B$29)*'Tax Tables'!$B$30,MIN(MAX(W621,0),'Tax Tables'!$B$23)*'Tax Tables'!$B$24+MIN(MAX(MAX(W621,0)-'Tax Tables'!$B$23,0),'Tax Tables'!$B$25)*'Tax Tables'!$B$26))*1-MIN('Tax Tables'!$B$22*(MAX(W621,0)-IF(Calculator!$B$10="Yes",MIN(MAX(W621,0),'Tax Tables'!$B$27)*'Tax Tables'!$B$28+MIN(MAX(MAX(W621,0)-'Tax Tables'!$B$27,0),'Tax Tables'!$B$29)*'Tax Tables'!$B$30,MIN(MAX(W621,0),'Tax Tables'!$B$23)*'Tax Tables'!$B$24+MIN(MAX(MAX(W621,0)-'Tax Tables'!$B$23,0),'Tax Tables'!$B$25)*'Tax Tables'!$B$26))*Calculator!$B$11,Calculator!$B$12)</f>
        <v>6336.325</v>
      </c>
      <c r="Y621" s="11" t="n">
        <f aca="false">MAX(W621,0)-X621</f>
        <v>73208.675</v>
      </c>
      <c r="Z621" s="11" t="n">
        <f aca="false">MIN(IF(P621&gt;0,Calculator!$B$13,0)+T621+Calculator!$B$14,'Tax Tables'!$B$36)</f>
        <v>20200</v>
      </c>
      <c r="AA621" s="11" t="n">
        <f aca="false">MAX(P621-Z621,0)</f>
        <v>283800</v>
      </c>
      <c r="AB621" s="11" t="n">
        <f aca="false">SUMPRODUCT((AA621&gt;'Tax Tables'!$A$5:$A$17)*(AA621-'Tax Tables'!$A$5:$A$17)*'Tax Tables'!$C$5:$C$17)</f>
        <v>37310</v>
      </c>
      <c r="AC621" s="11" t="n">
        <f aca="false">IF(W621&lt;0,-1E+099,P621-T621-AB621+Y621+(T621+U621)*Calculator!$B$9)</f>
        <v>356218.675</v>
      </c>
    </row>
    <row r="622" customFormat="false" ht="15" hidden="false" customHeight="false" outlineLevel="0" collapsed="false">
      <c r="A622" s="11" t="n">
        <f aca="false">609*$B$3</f>
        <v>304500</v>
      </c>
      <c r="B622" s="11" t="n">
        <f aca="false">0</f>
        <v>0</v>
      </c>
      <c r="C622" s="11" t="n">
        <f aca="false">A622-B622</f>
        <v>304500</v>
      </c>
      <c r="D622" s="11" t="n">
        <f aca="false">IF(Calculator!$B$6="Yes",MIN(B622,'Tax Tables'!$B$31*'Tax Tables'!$B$32),0)</f>
        <v>0</v>
      </c>
      <c r="E622" s="11" t="n">
        <f aca="false">D622*Calculator!$B$7</f>
        <v>0</v>
      </c>
      <c r="F622" s="11" t="n">
        <f aca="false">D622*Calculator!$B$8</f>
        <v>0</v>
      </c>
      <c r="G622" s="11" t="n">
        <f aca="false">IF(B622&gt;0,'Tax Tables'!$B$32*MIN(MAX(B622/'Tax Tables'!$B$32*'Tax Tables'!$B$33,'Tax Tables'!$B$34),'Tax Tables'!$B$35),0)</f>
        <v>0</v>
      </c>
      <c r="H622" s="11" t="n">
        <f aca="false">Calculator!$B$5-A622-F622-G622</f>
        <v>95500</v>
      </c>
      <c r="I622" s="11" t="n">
        <f aca="false">'Tax Tables'!$B$22*(MAX(H622,0)-IF(Calculator!$B$10="Yes",MIN(MAX(H622,0),'Tax Tables'!$B$27)*'Tax Tables'!$B$28+MIN(MAX(MAX(H622,0)-'Tax Tables'!$B$27,0),'Tax Tables'!$B$29)*'Tax Tables'!$B$30,MIN(MAX(H622,0),'Tax Tables'!$B$23)*'Tax Tables'!$B$24+MIN(MAX(MAX(H622,0)-'Tax Tables'!$B$23,0),'Tax Tables'!$B$25)*'Tax Tables'!$B$26))*1-MIN('Tax Tables'!$B$22*(MAX(H622,0)-IF(Calculator!$B$10="Yes",MIN(MAX(H622,0),'Tax Tables'!$B$27)*'Tax Tables'!$B$28+MIN(MAX(MAX(H622,0)-'Tax Tables'!$B$27,0),'Tax Tables'!$B$29)*'Tax Tables'!$B$30,MIN(MAX(H622,0),'Tax Tables'!$B$23)*'Tax Tables'!$B$24+MIN(MAX(MAX(H622,0)-'Tax Tables'!$B$23,0),'Tax Tables'!$B$25)*'Tax Tables'!$B$26))*Calculator!$B$11,Calculator!$B$12)</f>
        <v>7692.5</v>
      </c>
      <c r="J622" s="11" t="n">
        <f aca="false">MAX(H622,0)-I622</f>
        <v>87807.5</v>
      </c>
      <c r="K622" s="11" t="n">
        <f aca="false">MIN(IF(A622&gt;0,Calculator!$B$13,0)+E622+Calculator!$B$14,'Tax Tables'!$B$36)</f>
        <v>1000</v>
      </c>
      <c r="L622" s="11" t="n">
        <f aca="false">MAX(A622-K622,0)</f>
        <v>303500</v>
      </c>
      <c r="M622" s="11" t="n">
        <f aca="false">SUMPRODUCT((L622&gt;'Tax Tables'!$A$5:$A$17)*(L622-'Tax Tables'!$A$5:$A$17)*'Tax Tables'!$C$5:$C$17)</f>
        <v>41250</v>
      </c>
      <c r="N622" s="11" t="n">
        <f aca="false">IF(H622&lt;0,-1E+099,A622-E622-M622+J622+(E622+F622)*Calculator!$B$9)</f>
        <v>351057.5</v>
      </c>
      <c r="O622" s="2"/>
      <c r="P622" s="11" t="n">
        <f aca="false">609*$B$3</f>
        <v>304500</v>
      </c>
      <c r="Q622" s="11" t="n">
        <f aca="false">MIN(P622,'Tax Tables'!$B$31*'Tax Tables'!$B$32)</f>
        <v>96000</v>
      </c>
      <c r="R622" s="11" t="n">
        <f aca="false">P622-Q622</f>
        <v>208500</v>
      </c>
      <c r="S622" s="11" t="n">
        <f aca="false">IF(Calculator!$B$6="Yes",MIN(Q622,'Tax Tables'!$B$31*'Tax Tables'!$B$32),0)</f>
        <v>96000</v>
      </c>
      <c r="T622" s="11" t="n">
        <f aca="false">S622*Calculator!$B$7</f>
        <v>19200</v>
      </c>
      <c r="U622" s="11" t="n">
        <f aca="false">S622*Calculator!$B$8</f>
        <v>16320</v>
      </c>
      <c r="V622" s="11" t="n">
        <f aca="false">IF(Q622&gt;0,'Tax Tables'!$B$32*MIN(MAX(Q622/'Tax Tables'!$B$32*'Tax Tables'!$B$33,'Tax Tables'!$B$34),'Tax Tables'!$B$35),0)</f>
        <v>135</v>
      </c>
      <c r="W622" s="11" t="n">
        <f aca="false">Calculator!$B$5-P622-U622-V622</f>
        <v>79045</v>
      </c>
      <c r="X622" s="11" t="n">
        <f aca="false">'Tax Tables'!$B$22*(MAX(W622,0)-IF(Calculator!$B$10="Yes",MIN(MAX(W622,0),'Tax Tables'!$B$27)*'Tax Tables'!$B$28+MIN(MAX(MAX(W622,0)-'Tax Tables'!$B$27,0),'Tax Tables'!$B$29)*'Tax Tables'!$B$30,MIN(MAX(W622,0),'Tax Tables'!$B$23)*'Tax Tables'!$B$24+MIN(MAX(MAX(W622,0)-'Tax Tables'!$B$23,0),'Tax Tables'!$B$25)*'Tax Tables'!$B$26))*1-MIN('Tax Tables'!$B$22*(MAX(W622,0)-IF(Calculator!$B$10="Yes",MIN(MAX(W622,0),'Tax Tables'!$B$27)*'Tax Tables'!$B$28+MIN(MAX(MAX(W622,0)-'Tax Tables'!$B$27,0),'Tax Tables'!$B$29)*'Tax Tables'!$B$30,MIN(MAX(W622,0),'Tax Tables'!$B$23)*'Tax Tables'!$B$24+MIN(MAX(MAX(W622,0)-'Tax Tables'!$B$23,0),'Tax Tables'!$B$25)*'Tax Tables'!$B$26))*Calculator!$B$11,Calculator!$B$12)</f>
        <v>6293.825</v>
      </c>
      <c r="Y622" s="11" t="n">
        <f aca="false">MAX(W622,0)-X622</f>
        <v>72751.175</v>
      </c>
      <c r="Z622" s="11" t="n">
        <f aca="false">MIN(IF(P622&gt;0,Calculator!$B$13,0)+T622+Calculator!$B$14,'Tax Tables'!$B$36)</f>
        <v>20200</v>
      </c>
      <c r="AA622" s="11" t="n">
        <f aca="false">MAX(P622-Z622,0)</f>
        <v>284300</v>
      </c>
      <c r="AB622" s="11" t="n">
        <f aca="false">SUMPRODUCT((AA622&gt;'Tax Tables'!$A$5:$A$17)*(AA622-'Tax Tables'!$A$5:$A$17)*'Tax Tables'!$C$5:$C$17)</f>
        <v>37410</v>
      </c>
      <c r="AC622" s="11" t="n">
        <f aca="false">IF(W622&lt;0,-1E+099,P622-T622-AB622+Y622+(T622+U622)*Calculator!$B$9)</f>
        <v>356161.175</v>
      </c>
    </row>
    <row r="623" customFormat="false" ht="15" hidden="false" customHeight="false" outlineLevel="0" collapsed="false">
      <c r="A623" s="11" t="n">
        <f aca="false">610*$B$3</f>
        <v>305000</v>
      </c>
      <c r="B623" s="11" t="n">
        <f aca="false">0</f>
        <v>0</v>
      </c>
      <c r="C623" s="11" t="n">
        <f aca="false">A623-B623</f>
        <v>305000</v>
      </c>
      <c r="D623" s="11" t="n">
        <f aca="false">IF(Calculator!$B$6="Yes",MIN(B623,'Tax Tables'!$B$31*'Tax Tables'!$B$32),0)</f>
        <v>0</v>
      </c>
      <c r="E623" s="11" t="n">
        <f aca="false">D623*Calculator!$B$7</f>
        <v>0</v>
      </c>
      <c r="F623" s="11" t="n">
        <f aca="false">D623*Calculator!$B$8</f>
        <v>0</v>
      </c>
      <c r="G623" s="11" t="n">
        <f aca="false">IF(B623&gt;0,'Tax Tables'!$B$32*MIN(MAX(B623/'Tax Tables'!$B$32*'Tax Tables'!$B$33,'Tax Tables'!$B$34),'Tax Tables'!$B$35),0)</f>
        <v>0</v>
      </c>
      <c r="H623" s="11" t="n">
        <f aca="false">Calculator!$B$5-A623-F623-G623</f>
        <v>95000</v>
      </c>
      <c r="I623" s="11" t="n">
        <f aca="false">'Tax Tables'!$B$22*(MAX(H623,0)-IF(Calculator!$B$10="Yes",MIN(MAX(H623,0),'Tax Tables'!$B$27)*'Tax Tables'!$B$28+MIN(MAX(MAX(H623,0)-'Tax Tables'!$B$27,0),'Tax Tables'!$B$29)*'Tax Tables'!$B$30,MIN(MAX(H623,0),'Tax Tables'!$B$23)*'Tax Tables'!$B$24+MIN(MAX(MAX(H623,0)-'Tax Tables'!$B$23,0),'Tax Tables'!$B$25)*'Tax Tables'!$B$26))*1-MIN('Tax Tables'!$B$22*(MAX(H623,0)-IF(Calculator!$B$10="Yes",MIN(MAX(H623,0),'Tax Tables'!$B$27)*'Tax Tables'!$B$28+MIN(MAX(MAX(H623,0)-'Tax Tables'!$B$27,0),'Tax Tables'!$B$29)*'Tax Tables'!$B$30,MIN(MAX(H623,0),'Tax Tables'!$B$23)*'Tax Tables'!$B$24+MIN(MAX(MAX(H623,0)-'Tax Tables'!$B$23,0),'Tax Tables'!$B$25)*'Tax Tables'!$B$26))*Calculator!$B$11,Calculator!$B$12)</f>
        <v>7650</v>
      </c>
      <c r="J623" s="11" t="n">
        <f aca="false">MAX(H623,0)-I623</f>
        <v>87350</v>
      </c>
      <c r="K623" s="11" t="n">
        <f aca="false">MIN(IF(A623&gt;0,Calculator!$B$13,0)+E623+Calculator!$B$14,'Tax Tables'!$B$36)</f>
        <v>1000</v>
      </c>
      <c r="L623" s="11" t="n">
        <f aca="false">MAX(A623-K623,0)</f>
        <v>304000</v>
      </c>
      <c r="M623" s="11" t="n">
        <f aca="false">SUMPRODUCT((L623&gt;'Tax Tables'!$A$5:$A$17)*(L623-'Tax Tables'!$A$5:$A$17)*'Tax Tables'!$C$5:$C$17)</f>
        <v>41350</v>
      </c>
      <c r="N623" s="11" t="n">
        <f aca="false">IF(H623&lt;0,-1E+099,A623-E623-M623+J623+(E623+F623)*Calculator!$B$9)</f>
        <v>351000</v>
      </c>
      <c r="O623" s="2"/>
      <c r="P623" s="11" t="n">
        <f aca="false">610*$B$3</f>
        <v>305000</v>
      </c>
      <c r="Q623" s="11" t="n">
        <f aca="false">MIN(P623,'Tax Tables'!$B$31*'Tax Tables'!$B$32)</f>
        <v>96000</v>
      </c>
      <c r="R623" s="11" t="n">
        <f aca="false">P623-Q623</f>
        <v>209000</v>
      </c>
      <c r="S623" s="11" t="n">
        <f aca="false">IF(Calculator!$B$6="Yes",MIN(Q623,'Tax Tables'!$B$31*'Tax Tables'!$B$32),0)</f>
        <v>96000</v>
      </c>
      <c r="T623" s="11" t="n">
        <f aca="false">S623*Calculator!$B$7</f>
        <v>19200</v>
      </c>
      <c r="U623" s="11" t="n">
        <f aca="false">S623*Calculator!$B$8</f>
        <v>16320</v>
      </c>
      <c r="V623" s="11" t="n">
        <f aca="false">IF(Q623&gt;0,'Tax Tables'!$B$32*MIN(MAX(Q623/'Tax Tables'!$B$32*'Tax Tables'!$B$33,'Tax Tables'!$B$34),'Tax Tables'!$B$35),0)</f>
        <v>135</v>
      </c>
      <c r="W623" s="11" t="n">
        <f aca="false">Calculator!$B$5-P623-U623-V623</f>
        <v>78545</v>
      </c>
      <c r="X623" s="11" t="n">
        <f aca="false">'Tax Tables'!$B$22*(MAX(W623,0)-IF(Calculator!$B$10="Yes",MIN(MAX(W623,0),'Tax Tables'!$B$27)*'Tax Tables'!$B$28+MIN(MAX(MAX(W623,0)-'Tax Tables'!$B$27,0),'Tax Tables'!$B$29)*'Tax Tables'!$B$30,MIN(MAX(W623,0),'Tax Tables'!$B$23)*'Tax Tables'!$B$24+MIN(MAX(MAX(W623,0)-'Tax Tables'!$B$23,0),'Tax Tables'!$B$25)*'Tax Tables'!$B$26))*1-MIN('Tax Tables'!$B$22*(MAX(W623,0)-IF(Calculator!$B$10="Yes",MIN(MAX(W623,0),'Tax Tables'!$B$27)*'Tax Tables'!$B$28+MIN(MAX(MAX(W623,0)-'Tax Tables'!$B$27,0),'Tax Tables'!$B$29)*'Tax Tables'!$B$30,MIN(MAX(W623,0),'Tax Tables'!$B$23)*'Tax Tables'!$B$24+MIN(MAX(MAX(W623,0)-'Tax Tables'!$B$23,0),'Tax Tables'!$B$25)*'Tax Tables'!$B$26))*Calculator!$B$11,Calculator!$B$12)</f>
        <v>6251.325</v>
      </c>
      <c r="Y623" s="11" t="n">
        <f aca="false">MAX(W623,0)-X623</f>
        <v>72293.675</v>
      </c>
      <c r="Z623" s="11" t="n">
        <f aca="false">MIN(IF(P623&gt;0,Calculator!$B$13,0)+T623+Calculator!$B$14,'Tax Tables'!$B$36)</f>
        <v>20200</v>
      </c>
      <c r="AA623" s="11" t="n">
        <f aca="false">MAX(P623-Z623,0)</f>
        <v>284800</v>
      </c>
      <c r="AB623" s="11" t="n">
        <f aca="false">SUMPRODUCT((AA623&gt;'Tax Tables'!$A$5:$A$17)*(AA623-'Tax Tables'!$A$5:$A$17)*'Tax Tables'!$C$5:$C$17)</f>
        <v>37510</v>
      </c>
      <c r="AC623" s="11" t="n">
        <f aca="false">IF(W623&lt;0,-1E+099,P623-T623-AB623+Y623+(T623+U623)*Calculator!$B$9)</f>
        <v>356103.675</v>
      </c>
    </row>
    <row r="624" customFormat="false" ht="15" hidden="false" customHeight="false" outlineLevel="0" collapsed="false">
      <c r="A624" s="11" t="n">
        <f aca="false">611*$B$3</f>
        <v>305500</v>
      </c>
      <c r="B624" s="11" t="n">
        <f aca="false">0</f>
        <v>0</v>
      </c>
      <c r="C624" s="11" t="n">
        <f aca="false">A624-B624</f>
        <v>305500</v>
      </c>
      <c r="D624" s="11" t="n">
        <f aca="false">IF(Calculator!$B$6="Yes",MIN(B624,'Tax Tables'!$B$31*'Tax Tables'!$B$32),0)</f>
        <v>0</v>
      </c>
      <c r="E624" s="11" t="n">
        <f aca="false">D624*Calculator!$B$7</f>
        <v>0</v>
      </c>
      <c r="F624" s="11" t="n">
        <f aca="false">D624*Calculator!$B$8</f>
        <v>0</v>
      </c>
      <c r="G624" s="11" t="n">
        <f aca="false">IF(B624&gt;0,'Tax Tables'!$B$32*MIN(MAX(B624/'Tax Tables'!$B$32*'Tax Tables'!$B$33,'Tax Tables'!$B$34),'Tax Tables'!$B$35),0)</f>
        <v>0</v>
      </c>
      <c r="H624" s="11" t="n">
        <f aca="false">Calculator!$B$5-A624-F624-G624</f>
        <v>94500</v>
      </c>
      <c r="I624" s="11" t="n">
        <f aca="false">'Tax Tables'!$B$22*(MAX(H624,0)-IF(Calculator!$B$10="Yes",MIN(MAX(H624,0),'Tax Tables'!$B$27)*'Tax Tables'!$B$28+MIN(MAX(MAX(H624,0)-'Tax Tables'!$B$27,0),'Tax Tables'!$B$29)*'Tax Tables'!$B$30,MIN(MAX(H624,0),'Tax Tables'!$B$23)*'Tax Tables'!$B$24+MIN(MAX(MAX(H624,0)-'Tax Tables'!$B$23,0),'Tax Tables'!$B$25)*'Tax Tables'!$B$26))*1-MIN('Tax Tables'!$B$22*(MAX(H624,0)-IF(Calculator!$B$10="Yes",MIN(MAX(H624,0),'Tax Tables'!$B$27)*'Tax Tables'!$B$28+MIN(MAX(MAX(H624,0)-'Tax Tables'!$B$27,0),'Tax Tables'!$B$29)*'Tax Tables'!$B$30,MIN(MAX(H624,0),'Tax Tables'!$B$23)*'Tax Tables'!$B$24+MIN(MAX(MAX(H624,0)-'Tax Tables'!$B$23,0),'Tax Tables'!$B$25)*'Tax Tables'!$B$26))*Calculator!$B$11,Calculator!$B$12)</f>
        <v>7607.5</v>
      </c>
      <c r="J624" s="11" t="n">
        <f aca="false">MAX(H624,0)-I624</f>
        <v>86892.5</v>
      </c>
      <c r="K624" s="11" t="n">
        <f aca="false">MIN(IF(A624&gt;0,Calculator!$B$13,0)+E624+Calculator!$B$14,'Tax Tables'!$B$36)</f>
        <v>1000</v>
      </c>
      <c r="L624" s="11" t="n">
        <f aca="false">MAX(A624-K624,0)</f>
        <v>304500</v>
      </c>
      <c r="M624" s="11" t="n">
        <f aca="false">SUMPRODUCT((L624&gt;'Tax Tables'!$A$5:$A$17)*(L624-'Tax Tables'!$A$5:$A$17)*'Tax Tables'!$C$5:$C$17)</f>
        <v>41450</v>
      </c>
      <c r="N624" s="11" t="n">
        <f aca="false">IF(H624&lt;0,-1E+099,A624-E624-M624+J624+(E624+F624)*Calculator!$B$9)</f>
        <v>350942.5</v>
      </c>
      <c r="O624" s="2"/>
      <c r="P624" s="11" t="n">
        <f aca="false">611*$B$3</f>
        <v>305500</v>
      </c>
      <c r="Q624" s="11" t="n">
        <f aca="false">MIN(P624,'Tax Tables'!$B$31*'Tax Tables'!$B$32)</f>
        <v>96000</v>
      </c>
      <c r="R624" s="11" t="n">
        <f aca="false">P624-Q624</f>
        <v>209500</v>
      </c>
      <c r="S624" s="11" t="n">
        <f aca="false">IF(Calculator!$B$6="Yes",MIN(Q624,'Tax Tables'!$B$31*'Tax Tables'!$B$32),0)</f>
        <v>96000</v>
      </c>
      <c r="T624" s="11" t="n">
        <f aca="false">S624*Calculator!$B$7</f>
        <v>19200</v>
      </c>
      <c r="U624" s="11" t="n">
        <f aca="false">S624*Calculator!$B$8</f>
        <v>16320</v>
      </c>
      <c r="V624" s="11" t="n">
        <f aca="false">IF(Q624&gt;0,'Tax Tables'!$B$32*MIN(MAX(Q624/'Tax Tables'!$B$32*'Tax Tables'!$B$33,'Tax Tables'!$B$34),'Tax Tables'!$B$35),0)</f>
        <v>135</v>
      </c>
      <c r="W624" s="11" t="n">
        <f aca="false">Calculator!$B$5-P624-U624-V624</f>
        <v>78045</v>
      </c>
      <c r="X624" s="11" t="n">
        <f aca="false">'Tax Tables'!$B$22*(MAX(W624,0)-IF(Calculator!$B$10="Yes",MIN(MAX(W624,0),'Tax Tables'!$B$27)*'Tax Tables'!$B$28+MIN(MAX(MAX(W624,0)-'Tax Tables'!$B$27,0),'Tax Tables'!$B$29)*'Tax Tables'!$B$30,MIN(MAX(W624,0),'Tax Tables'!$B$23)*'Tax Tables'!$B$24+MIN(MAX(MAX(W624,0)-'Tax Tables'!$B$23,0),'Tax Tables'!$B$25)*'Tax Tables'!$B$26))*1-MIN('Tax Tables'!$B$22*(MAX(W624,0)-IF(Calculator!$B$10="Yes",MIN(MAX(W624,0),'Tax Tables'!$B$27)*'Tax Tables'!$B$28+MIN(MAX(MAX(W624,0)-'Tax Tables'!$B$27,0),'Tax Tables'!$B$29)*'Tax Tables'!$B$30,MIN(MAX(W624,0),'Tax Tables'!$B$23)*'Tax Tables'!$B$24+MIN(MAX(MAX(W624,0)-'Tax Tables'!$B$23,0),'Tax Tables'!$B$25)*'Tax Tables'!$B$26))*Calculator!$B$11,Calculator!$B$12)</f>
        <v>6208.825</v>
      </c>
      <c r="Y624" s="11" t="n">
        <f aca="false">MAX(W624,0)-X624</f>
        <v>71836.175</v>
      </c>
      <c r="Z624" s="11" t="n">
        <f aca="false">MIN(IF(P624&gt;0,Calculator!$B$13,0)+T624+Calculator!$B$14,'Tax Tables'!$B$36)</f>
        <v>20200</v>
      </c>
      <c r="AA624" s="11" t="n">
        <f aca="false">MAX(P624-Z624,0)</f>
        <v>285300</v>
      </c>
      <c r="AB624" s="11" t="n">
        <f aca="false">SUMPRODUCT((AA624&gt;'Tax Tables'!$A$5:$A$17)*(AA624-'Tax Tables'!$A$5:$A$17)*'Tax Tables'!$C$5:$C$17)</f>
        <v>37610</v>
      </c>
      <c r="AC624" s="11" t="n">
        <f aca="false">IF(W624&lt;0,-1E+099,P624-T624-AB624+Y624+(T624+U624)*Calculator!$B$9)</f>
        <v>356046.175</v>
      </c>
    </row>
    <row r="625" customFormat="false" ht="15" hidden="false" customHeight="false" outlineLevel="0" collapsed="false">
      <c r="A625" s="11" t="n">
        <f aca="false">612*$B$3</f>
        <v>306000</v>
      </c>
      <c r="B625" s="11" t="n">
        <f aca="false">0</f>
        <v>0</v>
      </c>
      <c r="C625" s="11" t="n">
        <f aca="false">A625-B625</f>
        <v>306000</v>
      </c>
      <c r="D625" s="11" t="n">
        <f aca="false">IF(Calculator!$B$6="Yes",MIN(B625,'Tax Tables'!$B$31*'Tax Tables'!$B$32),0)</f>
        <v>0</v>
      </c>
      <c r="E625" s="11" t="n">
        <f aca="false">D625*Calculator!$B$7</f>
        <v>0</v>
      </c>
      <c r="F625" s="11" t="n">
        <f aca="false">D625*Calculator!$B$8</f>
        <v>0</v>
      </c>
      <c r="G625" s="11" t="n">
        <f aca="false">IF(B625&gt;0,'Tax Tables'!$B$32*MIN(MAX(B625/'Tax Tables'!$B$32*'Tax Tables'!$B$33,'Tax Tables'!$B$34),'Tax Tables'!$B$35),0)</f>
        <v>0</v>
      </c>
      <c r="H625" s="11" t="n">
        <f aca="false">Calculator!$B$5-A625-F625-G625</f>
        <v>94000</v>
      </c>
      <c r="I625" s="11" t="n">
        <f aca="false">'Tax Tables'!$B$22*(MAX(H625,0)-IF(Calculator!$B$10="Yes",MIN(MAX(H625,0),'Tax Tables'!$B$27)*'Tax Tables'!$B$28+MIN(MAX(MAX(H625,0)-'Tax Tables'!$B$27,0),'Tax Tables'!$B$29)*'Tax Tables'!$B$30,MIN(MAX(H625,0),'Tax Tables'!$B$23)*'Tax Tables'!$B$24+MIN(MAX(MAX(H625,0)-'Tax Tables'!$B$23,0),'Tax Tables'!$B$25)*'Tax Tables'!$B$26))*1-MIN('Tax Tables'!$B$22*(MAX(H625,0)-IF(Calculator!$B$10="Yes",MIN(MAX(H625,0),'Tax Tables'!$B$27)*'Tax Tables'!$B$28+MIN(MAX(MAX(H625,0)-'Tax Tables'!$B$27,0),'Tax Tables'!$B$29)*'Tax Tables'!$B$30,MIN(MAX(H625,0),'Tax Tables'!$B$23)*'Tax Tables'!$B$24+MIN(MAX(MAX(H625,0)-'Tax Tables'!$B$23,0),'Tax Tables'!$B$25)*'Tax Tables'!$B$26))*Calculator!$B$11,Calculator!$B$12)</f>
        <v>7565</v>
      </c>
      <c r="J625" s="11" t="n">
        <f aca="false">MAX(H625,0)-I625</f>
        <v>86435</v>
      </c>
      <c r="K625" s="11" t="n">
        <f aca="false">MIN(IF(A625&gt;0,Calculator!$B$13,0)+E625+Calculator!$B$14,'Tax Tables'!$B$36)</f>
        <v>1000</v>
      </c>
      <c r="L625" s="11" t="n">
        <f aca="false">MAX(A625-K625,0)</f>
        <v>305000</v>
      </c>
      <c r="M625" s="11" t="n">
        <f aca="false">SUMPRODUCT((L625&gt;'Tax Tables'!$A$5:$A$17)*(L625-'Tax Tables'!$A$5:$A$17)*'Tax Tables'!$C$5:$C$17)</f>
        <v>41550</v>
      </c>
      <c r="N625" s="11" t="n">
        <f aca="false">IF(H625&lt;0,-1E+099,A625-E625-M625+J625+(E625+F625)*Calculator!$B$9)</f>
        <v>350885</v>
      </c>
      <c r="O625" s="2"/>
      <c r="P625" s="11" t="n">
        <f aca="false">612*$B$3</f>
        <v>306000</v>
      </c>
      <c r="Q625" s="11" t="n">
        <f aca="false">MIN(P625,'Tax Tables'!$B$31*'Tax Tables'!$B$32)</f>
        <v>96000</v>
      </c>
      <c r="R625" s="11" t="n">
        <f aca="false">P625-Q625</f>
        <v>210000</v>
      </c>
      <c r="S625" s="11" t="n">
        <f aca="false">IF(Calculator!$B$6="Yes",MIN(Q625,'Tax Tables'!$B$31*'Tax Tables'!$B$32),0)</f>
        <v>96000</v>
      </c>
      <c r="T625" s="11" t="n">
        <f aca="false">S625*Calculator!$B$7</f>
        <v>19200</v>
      </c>
      <c r="U625" s="11" t="n">
        <f aca="false">S625*Calculator!$B$8</f>
        <v>16320</v>
      </c>
      <c r="V625" s="11" t="n">
        <f aca="false">IF(Q625&gt;0,'Tax Tables'!$B$32*MIN(MAX(Q625/'Tax Tables'!$B$32*'Tax Tables'!$B$33,'Tax Tables'!$B$34),'Tax Tables'!$B$35),0)</f>
        <v>135</v>
      </c>
      <c r="W625" s="11" t="n">
        <f aca="false">Calculator!$B$5-P625-U625-V625</f>
        <v>77545</v>
      </c>
      <c r="X625" s="11" t="n">
        <f aca="false">'Tax Tables'!$B$22*(MAX(W625,0)-IF(Calculator!$B$10="Yes",MIN(MAX(W625,0),'Tax Tables'!$B$27)*'Tax Tables'!$B$28+MIN(MAX(MAX(W625,0)-'Tax Tables'!$B$27,0),'Tax Tables'!$B$29)*'Tax Tables'!$B$30,MIN(MAX(W625,0),'Tax Tables'!$B$23)*'Tax Tables'!$B$24+MIN(MAX(MAX(W625,0)-'Tax Tables'!$B$23,0),'Tax Tables'!$B$25)*'Tax Tables'!$B$26))*1-MIN('Tax Tables'!$B$22*(MAX(W625,0)-IF(Calculator!$B$10="Yes",MIN(MAX(W625,0),'Tax Tables'!$B$27)*'Tax Tables'!$B$28+MIN(MAX(MAX(W625,0)-'Tax Tables'!$B$27,0),'Tax Tables'!$B$29)*'Tax Tables'!$B$30,MIN(MAX(W625,0),'Tax Tables'!$B$23)*'Tax Tables'!$B$24+MIN(MAX(MAX(W625,0)-'Tax Tables'!$B$23,0),'Tax Tables'!$B$25)*'Tax Tables'!$B$26))*Calculator!$B$11,Calculator!$B$12)</f>
        <v>6166.325</v>
      </c>
      <c r="Y625" s="11" t="n">
        <f aca="false">MAX(W625,0)-X625</f>
        <v>71378.675</v>
      </c>
      <c r="Z625" s="11" t="n">
        <f aca="false">MIN(IF(P625&gt;0,Calculator!$B$13,0)+T625+Calculator!$B$14,'Tax Tables'!$B$36)</f>
        <v>20200</v>
      </c>
      <c r="AA625" s="11" t="n">
        <f aca="false">MAX(P625-Z625,0)</f>
        <v>285800</v>
      </c>
      <c r="AB625" s="11" t="n">
        <f aca="false">SUMPRODUCT((AA625&gt;'Tax Tables'!$A$5:$A$17)*(AA625-'Tax Tables'!$A$5:$A$17)*'Tax Tables'!$C$5:$C$17)</f>
        <v>37710</v>
      </c>
      <c r="AC625" s="11" t="n">
        <f aca="false">IF(W625&lt;0,-1E+099,P625-T625-AB625+Y625+(T625+U625)*Calculator!$B$9)</f>
        <v>355988.675</v>
      </c>
    </row>
    <row r="626" customFormat="false" ht="15" hidden="false" customHeight="false" outlineLevel="0" collapsed="false">
      <c r="A626" s="11" t="n">
        <f aca="false">613*$B$3</f>
        <v>306500</v>
      </c>
      <c r="B626" s="11" t="n">
        <f aca="false">0</f>
        <v>0</v>
      </c>
      <c r="C626" s="11" t="n">
        <f aca="false">A626-B626</f>
        <v>306500</v>
      </c>
      <c r="D626" s="11" t="n">
        <f aca="false">IF(Calculator!$B$6="Yes",MIN(B626,'Tax Tables'!$B$31*'Tax Tables'!$B$32),0)</f>
        <v>0</v>
      </c>
      <c r="E626" s="11" t="n">
        <f aca="false">D626*Calculator!$B$7</f>
        <v>0</v>
      </c>
      <c r="F626" s="11" t="n">
        <f aca="false">D626*Calculator!$B$8</f>
        <v>0</v>
      </c>
      <c r="G626" s="11" t="n">
        <f aca="false">IF(B626&gt;0,'Tax Tables'!$B$32*MIN(MAX(B626/'Tax Tables'!$B$32*'Tax Tables'!$B$33,'Tax Tables'!$B$34),'Tax Tables'!$B$35),0)</f>
        <v>0</v>
      </c>
      <c r="H626" s="11" t="n">
        <f aca="false">Calculator!$B$5-A626-F626-G626</f>
        <v>93500</v>
      </c>
      <c r="I626" s="11" t="n">
        <f aca="false">'Tax Tables'!$B$22*(MAX(H626,0)-IF(Calculator!$B$10="Yes",MIN(MAX(H626,0),'Tax Tables'!$B$27)*'Tax Tables'!$B$28+MIN(MAX(MAX(H626,0)-'Tax Tables'!$B$27,0),'Tax Tables'!$B$29)*'Tax Tables'!$B$30,MIN(MAX(H626,0),'Tax Tables'!$B$23)*'Tax Tables'!$B$24+MIN(MAX(MAX(H626,0)-'Tax Tables'!$B$23,0),'Tax Tables'!$B$25)*'Tax Tables'!$B$26))*1-MIN('Tax Tables'!$B$22*(MAX(H626,0)-IF(Calculator!$B$10="Yes",MIN(MAX(H626,0),'Tax Tables'!$B$27)*'Tax Tables'!$B$28+MIN(MAX(MAX(H626,0)-'Tax Tables'!$B$27,0),'Tax Tables'!$B$29)*'Tax Tables'!$B$30,MIN(MAX(H626,0),'Tax Tables'!$B$23)*'Tax Tables'!$B$24+MIN(MAX(MAX(H626,0)-'Tax Tables'!$B$23,0),'Tax Tables'!$B$25)*'Tax Tables'!$B$26))*Calculator!$B$11,Calculator!$B$12)</f>
        <v>7522.5</v>
      </c>
      <c r="J626" s="11" t="n">
        <f aca="false">MAX(H626,0)-I626</f>
        <v>85977.5</v>
      </c>
      <c r="K626" s="11" t="n">
        <f aca="false">MIN(IF(A626&gt;0,Calculator!$B$13,0)+E626+Calculator!$B$14,'Tax Tables'!$B$36)</f>
        <v>1000</v>
      </c>
      <c r="L626" s="11" t="n">
        <f aca="false">MAX(A626-K626,0)</f>
        <v>305500</v>
      </c>
      <c r="M626" s="11" t="n">
        <f aca="false">SUMPRODUCT((L626&gt;'Tax Tables'!$A$5:$A$17)*(L626-'Tax Tables'!$A$5:$A$17)*'Tax Tables'!$C$5:$C$17)</f>
        <v>41650</v>
      </c>
      <c r="N626" s="11" t="n">
        <f aca="false">IF(H626&lt;0,-1E+099,A626-E626-M626+J626+(E626+F626)*Calculator!$B$9)</f>
        <v>350827.5</v>
      </c>
      <c r="O626" s="2"/>
      <c r="P626" s="11" t="n">
        <f aca="false">613*$B$3</f>
        <v>306500</v>
      </c>
      <c r="Q626" s="11" t="n">
        <f aca="false">MIN(P626,'Tax Tables'!$B$31*'Tax Tables'!$B$32)</f>
        <v>96000</v>
      </c>
      <c r="R626" s="11" t="n">
        <f aca="false">P626-Q626</f>
        <v>210500</v>
      </c>
      <c r="S626" s="11" t="n">
        <f aca="false">IF(Calculator!$B$6="Yes",MIN(Q626,'Tax Tables'!$B$31*'Tax Tables'!$B$32),0)</f>
        <v>96000</v>
      </c>
      <c r="T626" s="11" t="n">
        <f aca="false">S626*Calculator!$B$7</f>
        <v>19200</v>
      </c>
      <c r="U626" s="11" t="n">
        <f aca="false">S626*Calculator!$B$8</f>
        <v>16320</v>
      </c>
      <c r="V626" s="11" t="n">
        <f aca="false">IF(Q626&gt;0,'Tax Tables'!$B$32*MIN(MAX(Q626/'Tax Tables'!$B$32*'Tax Tables'!$B$33,'Tax Tables'!$B$34),'Tax Tables'!$B$35),0)</f>
        <v>135</v>
      </c>
      <c r="W626" s="11" t="n">
        <f aca="false">Calculator!$B$5-P626-U626-V626</f>
        <v>77045</v>
      </c>
      <c r="X626" s="11" t="n">
        <f aca="false">'Tax Tables'!$B$22*(MAX(W626,0)-IF(Calculator!$B$10="Yes",MIN(MAX(W626,0),'Tax Tables'!$B$27)*'Tax Tables'!$B$28+MIN(MAX(MAX(W626,0)-'Tax Tables'!$B$27,0),'Tax Tables'!$B$29)*'Tax Tables'!$B$30,MIN(MAX(W626,0),'Tax Tables'!$B$23)*'Tax Tables'!$B$24+MIN(MAX(MAX(W626,0)-'Tax Tables'!$B$23,0),'Tax Tables'!$B$25)*'Tax Tables'!$B$26))*1-MIN('Tax Tables'!$B$22*(MAX(W626,0)-IF(Calculator!$B$10="Yes",MIN(MAX(W626,0),'Tax Tables'!$B$27)*'Tax Tables'!$B$28+MIN(MAX(MAX(W626,0)-'Tax Tables'!$B$27,0),'Tax Tables'!$B$29)*'Tax Tables'!$B$30,MIN(MAX(W626,0),'Tax Tables'!$B$23)*'Tax Tables'!$B$24+MIN(MAX(MAX(W626,0)-'Tax Tables'!$B$23,0),'Tax Tables'!$B$25)*'Tax Tables'!$B$26))*Calculator!$B$11,Calculator!$B$12)</f>
        <v>6123.825</v>
      </c>
      <c r="Y626" s="11" t="n">
        <f aca="false">MAX(W626,0)-X626</f>
        <v>70921.175</v>
      </c>
      <c r="Z626" s="11" t="n">
        <f aca="false">MIN(IF(P626&gt;0,Calculator!$B$13,0)+T626+Calculator!$B$14,'Tax Tables'!$B$36)</f>
        <v>20200</v>
      </c>
      <c r="AA626" s="11" t="n">
        <f aca="false">MAX(P626-Z626,0)</f>
        <v>286300</v>
      </c>
      <c r="AB626" s="11" t="n">
        <f aca="false">SUMPRODUCT((AA626&gt;'Tax Tables'!$A$5:$A$17)*(AA626-'Tax Tables'!$A$5:$A$17)*'Tax Tables'!$C$5:$C$17)</f>
        <v>37810</v>
      </c>
      <c r="AC626" s="11" t="n">
        <f aca="false">IF(W626&lt;0,-1E+099,P626-T626-AB626+Y626+(T626+U626)*Calculator!$B$9)</f>
        <v>355931.175</v>
      </c>
    </row>
    <row r="627" customFormat="false" ht="15" hidden="false" customHeight="false" outlineLevel="0" collapsed="false">
      <c r="A627" s="11" t="n">
        <f aca="false">614*$B$3</f>
        <v>307000</v>
      </c>
      <c r="B627" s="11" t="n">
        <f aca="false">0</f>
        <v>0</v>
      </c>
      <c r="C627" s="11" t="n">
        <f aca="false">A627-B627</f>
        <v>307000</v>
      </c>
      <c r="D627" s="11" t="n">
        <f aca="false">IF(Calculator!$B$6="Yes",MIN(B627,'Tax Tables'!$B$31*'Tax Tables'!$B$32),0)</f>
        <v>0</v>
      </c>
      <c r="E627" s="11" t="n">
        <f aca="false">D627*Calculator!$B$7</f>
        <v>0</v>
      </c>
      <c r="F627" s="11" t="n">
        <f aca="false">D627*Calculator!$B$8</f>
        <v>0</v>
      </c>
      <c r="G627" s="11" t="n">
        <f aca="false">IF(B627&gt;0,'Tax Tables'!$B$32*MIN(MAX(B627/'Tax Tables'!$B$32*'Tax Tables'!$B$33,'Tax Tables'!$B$34),'Tax Tables'!$B$35),0)</f>
        <v>0</v>
      </c>
      <c r="H627" s="11" t="n">
        <f aca="false">Calculator!$B$5-A627-F627-G627</f>
        <v>93000</v>
      </c>
      <c r="I627" s="11" t="n">
        <f aca="false">'Tax Tables'!$B$22*(MAX(H627,0)-IF(Calculator!$B$10="Yes",MIN(MAX(H627,0),'Tax Tables'!$B$27)*'Tax Tables'!$B$28+MIN(MAX(MAX(H627,0)-'Tax Tables'!$B$27,0),'Tax Tables'!$B$29)*'Tax Tables'!$B$30,MIN(MAX(H627,0),'Tax Tables'!$B$23)*'Tax Tables'!$B$24+MIN(MAX(MAX(H627,0)-'Tax Tables'!$B$23,0),'Tax Tables'!$B$25)*'Tax Tables'!$B$26))*1-MIN('Tax Tables'!$B$22*(MAX(H627,0)-IF(Calculator!$B$10="Yes",MIN(MAX(H627,0),'Tax Tables'!$B$27)*'Tax Tables'!$B$28+MIN(MAX(MAX(H627,0)-'Tax Tables'!$B$27,0),'Tax Tables'!$B$29)*'Tax Tables'!$B$30,MIN(MAX(H627,0),'Tax Tables'!$B$23)*'Tax Tables'!$B$24+MIN(MAX(MAX(H627,0)-'Tax Tables'!$B$23,0),'Tax Tables'!$B$25)*'Tax Tables'!$B$26))*Calculator!$B$11,Calculator!$B$12)</f>
        <v>7480</v>
      </c>
      <c r="J627" s="11" t="n">
        <f aca="false">MAX(H627,0)-I627</f>
        <v>85520</v>
      </c>
      <c r="K627" s="11" t="n">
        <f aca="false">MIN(IF(A627&gt;0,Calculator!$B$13,0)+E627+Calculator!$B$14,'Tax Tables'!$B$36)</f>
        <v>1000</v>
      </c>
      <c r="L627" s="11" t="n">
        <f aca="false">MAX(A627-K627,0)</f>
        <v>306000</v>
      </c>
      <c r="M627" s="11" t="n">
        <f aca="false">SUMPRODUCT((L627&gt;'Tax Tables'!$A$5:$A$17)*(L627-'Tax Tables'!$A$5:$A$17)*'Tax Tables'!$C$5:$C$17)</f>
        <v>41750</v>
      </c>
      <c r="N627" s="11" t="n">
        <f aca="false">IF(H627&lt;0,-1E+099,A627-E627-M627+J627+(E627+F627)*Calculator!$B$9)</f>
        <v>350770</v>
      </c>
      <c r="O627" s="2"/>
      <c r="P627" s="11" t="n">
        <f aca="false">614*$B$3</f>
        <v>307000</v>
      </c>
      <c r="Q627" s="11" t="n">
        <f aca="false">MIN(P627,'Tax Tables'!$B$31*'Tax Tables'!$B$32)</f>
        <v>96000</v>
      </c>
      <c r="R627" s="11" t="n">
        <f aca="false">P627-Q627</f>
        <v>211000</v>
      </c>
      <c r="S627" s="11" t="n">
        <f aca="false">IF(Calculator!$B$6="Yes",MIN(Q627,'Tax Tables'!$B$31*'Tax Tables'!$B$32),0)</f>
        <v>96000</v>
      </c>
      <c r="T627" s="11" t="n">
        <f aca="false">S627*Calculator!$B$7</f>
        <v>19200</v>
      </c>
      <c r="U627" s="11" t="n">
        <f aca="false">S627*Calculator!$B$8</f>
        <v>16320</v>
      </c>
      <c r="V627" s="11" t="n">
        <f aca="false">IF(Q627&gt;0,'Tax Tables'!$B$32*MIN(MAX(Q627/'Tax Tables'!$B$32*'Tax Tables'!$B$33,'Tax Tables'!$B$34),'Tax Tables'!$B$35),0)</f>
        <v>135</v>
      </c>
      <c r="W627" s="11" t="n">
        <f aca="false">Calculator!$B$5-P627-U627-V627</f>
        <v>76545</v>
      </c>
      <c r="X627" s="11" t="n">
        <f aca="false">'Tax Tables'!$B$22*(MAX(W627,0)-IF(Calculator!$B$10="Yes",MIN(MAX(W627,0),'Tax Tables'!$B$27)*'Tax Tables'!$B$28+MIN(MAX(MAX(W627,0)-'Tax Tables'!$B$27,0),'Tax Tables'!$B$29)*'Tax Tables'!$B$30,MIN(MAX(W627,0),'Tax Tables'!$B$23)*'Tax Tables'!$B$24+MIN(MAX(MAX(W627,0)-'Tax Tables'!$B$23,0),'Tax Tables'!$B$25)*'Tax Tables'!$B$26))*1-MIN('Tax Tables'!$B$22*(MAX(W627,0)-IF(Calculator!$B$10="Yes",MIN(MAX(W627,0),'Tax Tables'!$B$27)*'Tax Tables'!$B$28+MIN(MAX(MAX(W627,0)-'Tax Tables'!$B$27,0),'Tax Tables'!$B$29)*'Tax Tables'!$B$30,MIN(MAX(W627,0),'Tax Tables'!$B$23)*'Tax Tables'!$B$24+MIN(MAX(MAX(W627,0)-'Tax Tables'!$B$23,0),'Tax Tables'!$B$25)*'Tax Tables'!$B$26))*Calculator!$B$11,Calculator!$B$12)</f>
        <v>6081.325</v>
      </c>
      <c r="Y627" s="11" t="n">
        <f aca="false">MAX(W627,0)-X627</f>
        <v>70463.675</v>
      </c>
      <c r="Z627" s="11" t="n">
        <f aca="false">MIN(IF(P627&gt;0,Calculator!$B$13,0)+T627+Calculator!$B$14,'Tax Tables'!$B$36)</f>
        <v>20200</v>
      </c>
      <c r="AA627" s="11" t="n">
        <f aca="false">MAX(P627-Z627,0)</f>
        <v>286800</v>
      </c>
      <c r="AB627" s="11" t="n">
        <f aca="false">SUMPRODUCT((AA627&gt;'Tax Tables'!$A$5:$A$17)*(AA627-'Tax Tables'!$A$5:$A$17)*'Tax Tables'!$C$5:$C$17)</f>
        <v>37910</v>
      </c>
      <c r="AC627" s="11" t="n">
        <f aca="false">IF(W627&lt;0,-1E+099,P627-T627-AB627+Y627+(T627+U627)*Calculator!$B$9)</f>
        <v>355873.675</v>
      </c>
    </row>
    <row r="628" customFormat="false" ht="15" hidden="false" customHeight="false" outlineLevel="0" collapsed="false">
      <c r="A628" s="11" t="n">
        <f aca="false">615*$B$3</f>
        <v>307500</v>
      </c>
      <c r="B628" s="11" t="n">
        <f aca="false">0</f>
        <v>0</v>
      </c>
      <c r="C628" s="11" t="n">
        <f aca="false">A628-B628</f>
        <v>307500</v>
      </c>
      <c r="D628" s="11" t="n">
        <f aca="false">IF(Calculator!$B$6="Yes",MIN(B628,'Tax Tables'!$B$31*'Tax Tables'!$B$32),0)</f>
        <v>0</v>
      </c>
      <c r="E628" s="11" t="n">
        <f aca="false">D628*Calculator!$B$7</f>
        <v>0</v>
      </c>
      <c r="F628" s="11" t="n">
        <f aca="false">D628*Calculator!$B$8</f>
        <v>0</v>
      </c>
      <c r="G628" s="11" t="n">
        <f aca="false">IF(B628&gt;0,'Tax Tables'!$B$32*MIN(MAX(B628/'Tax Tables'!$B$32*'Tax Tables'!$B$33,'Tax Tables'!$B$34),'Tax Tables'!$B$35),0)</f>
        <v>0</v>
      </c>
      <c r="H628" s="11" t="n">
        <f aca="false">Calculator!$B$5-A628-F628-G628</f>
        <v>92500</v>
      </c>
      <c r="I628" s="11" t="n">
        <f aca="false">'Tax Tables'!$B$22*(MAX(H628,0)-IF(Calculator!$B$10="Yes",MIN(MAX(H628,0),'Tax Tables'!$B$27)*'Tax Tables'!$B$28+MIN(MAX(MAX(H628,0)-'Tax Tables'!$B$27,0),'Tax Tables'!$B$29)*'Tax Tables'!$B$30,MIN(MAX(H628,0),'Tax Tables'!$B$23)*'Tax Tables'!$B$24+MIN(MAX(MAX(H628,0)-'Tax Tables'!$B$23,0),'Tax Tables'!$B$25)*'Tax Tables'!$B$26))*1-MIN('Tax Tables'!$B$22*(MAX(H628,0)-IF(Calculator!$B$10="Yes",MIN(MAX(H628,0),'Tax Tables'!$B$27)*'Tax Tables'!$B$28+MIN(MAX(MAX(H628,0)-'Tax Tables'!$B$27,0),'Tax Tables'!$B$29)*'Tax Tables'!$B$30,MIN(MAX(H628,0),'Tax Tables'!$B$23)*'Tax Tables'!$B$24+MIN(MAX(MAX(H628,0)-'Tax Tables'!$B$23,0),'Tax Tables'!$B$25)*'Tax Tables'!$B$26))*Calculator!$B$11,Calculator!$B$12)</f>
        <v>7437.5</v>
      </c>
      <c r="J628" s="11" t="n">
        <f aca="false">MAX(H628,0)-I628</f>
        <v>85062.5</v>
      </c>
      <c r="K628" s="11" t="n">
        <f aca="false">MIN(IF(A628&gt;0,Calculator!$B$13,0)+E628+Calculator!$B$14,'Tax Tables'!$B$36)</f>
        <v>1000</v>
      </c>
      <c r="L628" s="11" t="n">
        <f aca="false">MAX(A628-K628,0)</f>
        <v>306500</v>
      </c>
      <c r="M628" s="11" t="n">
        <f aca="false">SUMPRODUCT((L628&gt;'Tax Tables'!$A$5:$A$17)*(L628-'Tax Tables'!$A$5:$A$17)*'Tax Tables'!$C$5:$C$17)</f>
        <v>41850</v>
      </c>
      <c r="N628" s="11" t="n">
        <f aca="false">IF(H628&lt;0,-1E+099,A628-E628-M628+J628+(E628+F628)*Calculator!$B$9)</f>
        <v>350712.5</v>
      </c>
      <c r="O628" s="2"/>
      <c r="P628" s="11" t="n">
        <f aca="false">615*$B$3</f>
        <v>307500</v>
      </c>
      <c r="Q628" s="11" t="n">
        <f aca="false">MIN(P628,'Tax Tables'!$B$31*'Tax Tables'!$B$32)</f>
        <v>96000</v>
      </c>
      <c r="R628" s="11" t="n">
        <f aca="false">P628-Q628</f>
        <v>211500</v>
      </c>
      <c r="S628" s="11" t="n">
        <f aca="false">IF(Calculator!$B$6="Yes",MIN(Q628,'Tax Tables'!$B$31*'Tax Tables'!$B$32),0)</f>
        <v>96000</v>
      </c>
      <c r="T628" s="11" t="n">
        <f aca="false">S628*Calculator!$B$7</f>
        <v>19200</v>
      </c>
      <c r="U628" s="11" t="n">
        <f aca="false">S628*Calculator!$B$8</f>
        <v>16320</v>
      </c>
      <c r="V628" s="11" t="n">
        <f aca="false">IF(Q628&gt;0,'Tax Tables'!$B$32*MIN(MAX(Q628/'Tax Tables'!$B$32*'Tax Tables'!$B$33,'Tax Tables'!$B$34),'Tax Tables'!$B$35),0)</f>
        <v>135</v>
      </c>
      <c r="W628" s="11" t="n">
        <f aca="false">Calculator!$B$5-P628-U628-V628</f>
        <v>76045</v>
      </c>
      <c r="X628" s="11" t="n">
        <f aca="false">'Tax Tables'!$B$22*(MAX(W628,0)-IF(Calculator!$B$10="Yes",MIN(MAX(W628,0),'Tax Tables'!$B$27)*'Tax Tables'!$B$28+MIN(MAX(MAX(W628,0)-'Tax Tables'!$B$27,0),'Tax Tables'!$B$29)*'Tax Tables'!$B$30,MIN(MAX(W628,0),'Tax Tables'!$B$23)*'Tax Tables'!$B$24+MIN(MAX(MAX(W628,0)-'Tax Tables'!$B$23,0),'Tax Tables'!$B$25)*'Tax Tables'!$B$26))*1-MIN('Tax Tables'!$B$22*(MAX(W628,0)-IF(Calculator!$B$10="Yes",MIN(MAX(W628,0),'Tax Tables'!$B$27)*'Tax Tables'!$B$28+MIN(MAX(MAX(W628,0)-'Tax Tables'!$B$27,0),'Tax Tables'!$B$29)*'Tax Tables'!$B$30,MIN(MAX(W628,0),'Tax Tables'!$B$23)*'Tax Tables'!$B$24+MIN(MAX(MAX(W628,0)-'Tax Tables'!$B$23,0),'Tax Tables'!$B$25)*'Tax Tables'!$B$26))*Calculator!$B$11,Calculator!$B$12)</f>
        <v>6038.825</v>
      </c>
      <c r="Y628" s="11" t="n">
        <f aca="false">MAX(W628,0)-X628</f>
        <v>70006.175</v>
      </c>
      <c r="Z628" s="11" t="n">
        <f aca="false">MIN(IF(P628&gt;0,Calculator!$B$13,0)+T628+Calculator!$B$14,'Tax Tables'!$B$36)</f>
        <v>20200</v>
      </c>
      <c r="AA628" s="11" t="n">
        <f aca="false">MAX(P628-Z628,0)</f>
        <v>287300</v>
      </c>
      <c r="AB628" s="11" t="n">
        <f aca="false">SUMPRODUCT((AA628&gt;'Tax Tables'!$A$5:$A$17)*(AA628-'Tax Tables'!$A$5:$A$17)*'Tax Tables'!$C$5:$C$17)</f>
        <v>38010</v>
      </c>
      <c r="AC628" s="11" t="n">
        <f aca="false">IF(W628&lt;0,-1E+099,P628-T628-AB628+Y628+(T628+U628)*Calculator!$B$9)</f>
        <v>355816.175</v>
      </c>
    </row>
    <row r="629" customFormat="false" ht="15" hidden="false" customHeight="false" outlineLevel="0" collapsed="false">
      <c r="A629" s="11" t="n">
        <f aca="false">616*$B$3</f>
        <v>308000</v>
      </c>
      <c r="B629" s="11" t="n">
        <f aca="false">0</f>
        <v>0</v>
      </c>
      <c r="C629" s="11" t="n">
        <f aca="false">A629-B629</f>
        <v>308000</v>
      </c>
      <c r="D629" s="11" t="n">
        <f aca="false">IF(Calculator!$B$6="Yes",MIN(B629,'Tax Tables'!$B$31*'Tax Tables'!$B$32),0)</f>
        <v>0</v>
      </c>
      <c r="E629" s="11" t="n">
        <f aca="false">D629*Calculator!$B$7</f>
        <v>0</v>
      </c>
      <c r="F629" s="11" t="n">
        <f aca="false">D629*Calculator!$B$8</f>
        <v>0</v>
      </c>
      <c r="G629" s="11" t="n">
        <f aca="false">IF(B629&gt;0,'Tax Tables'!$B$32*MIN(MAX(B629/'Tax Tables'!$B$32*'Tax Tables'!$B$33,'Tax Tables'!$B$34),'Tax Tables'!$B$35),0)</f>
        <v>0</v>
      </c>
      <c r="H629" s="11" t="n">
        <f aca="false">Calculator!$B$5-A629-F629-G629</f>
        <v>92000</v>
      </c>
      <c r="I629" s="11" t="n">
        <f aca="false">'Tax Tables'!$B$22*(MAX(H629,0)-IF(Calculator!$B$10="Yes",MIN(MAX(H629,0),'Tax Tables'!$B$27)*'Tax Tables'!$B$28+MIN(MAX(MAX(H629,0)-'Tax Tables'!$B$27,0),'Tax Tables'!$B$29)*'Tax Tables'!$B$30,MIN(MAX(H629,0),'Tax Tables'!$B$23)*'Tax Tables'!$B$24+MIN(MAX(MAX(H629,0)-'Tax Tables'!$B$23,0),'Tax Tables'!$B$25)*'Tax Tables'!$B$26))*1-MIN('Tax Tables'!$B$22*(MAX(H629,0)-IF(Calculator!$B$10="Yes",MIN(MAX(H629,0),'Tax Tables'!$B$27)*'Tax Tables'!$B$28+MIN(MAX(MAX(H629,0)-'Tax Tables'!$B$27,0),'Tax Tables'!$B$29)*'Tax Tables'!$B$30,MIN(MAX(H629,0),'Tax Tables'!$B$23)*'Tax Tables'!$B$24+MIN(MAX(MAX(H629,0)-'Tax Tables'!$B$23,0),'Tax Tables'!$B$25)*'Tax Tables'!$B$26))*Calculator!$B$11,Calculator!$B$12)</f>
        <v>7395</v>
      </c>
      <c r="J629" s="11" t="n">
        <f aca="false">MAX(H629,0)-I629</f>
        <v>84605</v>
      </c>
      <c r="K629" s="11" t="n">
        <f aca="false">MIN(IF(A629&gt;0,Calculator!$B$13,0)+E629+Calculator!$B$14,'Tax Tables'!$B$36)</f>
        <v>1000</v>
      </c>
      <c r="L629" s="11" t="n">
        <f aca="false">MAX(A629-K629,0)</f>
        <v>307000</v>
      </c>
      <c r="M629" s="11" t="n">
        <f aca="false">SUMPRODUCT((L629&gt;'Tax Tables'!$A$5:$A$17)*(L629-'Tax Tables'!$A$5:$A$17)*'Tax Tables'!$C$5:$C$17)</f>
        <v>41950</v>
      </c>
      <c r="N629" s="11" t="n">
        <f aca="false">IF(H629&lt;0,-1E+099,A629-E629-M629+J629+(E629+F629)*Calculator!$B$9)</f>
        <v>350655</v>
      </c>
      <c r="O629" s="2"/>
      <c r="P629" s="11" t="n">
        <f aca="false">616*$B$3</f>
        <v>308000</v>
      </c>
      <c r="Q629" s="11" t="n">
        <f aca="false">MIN(P629,'Tax Tables'!$B$31*'Tax Tables'!$B$32)</f>
        <v>96000</v>
      </c>
      <c r="R629" s="11" t="n">
        <f aca="false">P629-Q629</f>
        <v>212000</v>
      </c>
      <c r="S629" s="11" t="n">
        <f aca="false">IF(Calculator!$B$6="Yes",MIN(Q629,'Tax Tables'!$B$31*'Tax Tables'!$B$32),0)</f>
        <v>96000</v>
      </c>
      <c r="T629" s="11" t="n">
        <f aca="false">S629*Calculator!$B$7</f>
        <v>19200</v>
      </c>
      <c r="U629" s="11" t="n">
        <f aca="false">S629*Calculator!$B$8</f>
        <v>16320</v>
      </c>
      <c r="V629" s="11" t="n">
        <f aca="false">IF(Q629&gt;0,'Tax Tables'!$B$32*MIN(MAX(Q629/'Tax Tables'!$B$32*'Tax Tables'!$B$33,'Tax Tables'!$B$34),'Tax Tables'!$B$35),0)</f>
        <v>135</v>
      </c>
      <c r="W629" s="11" t="n">
        <f aca="false">Calculator!$B$5-P629-U629-V629</f>
        <v>75545</v>
      </c>
      <c r="X629" s="11" t="n">
        <f aca="false">'Tax Tables'!$B$22*(MAX(W629,0)-IF(Calculator!$B$10="Yes",MIN(MAX(W629,0),'Tax Tables'!$B$27)*'Tax Tables'!$B$28+MIN(MAX(MAX(W629,0)-'Tax Tables'!$B$27,0),'Tax Tables'!$B$29)*'Tax Tables'!$B$30,MIN(MAX(W629,0),'Tax Tables'!$B$23)*'Tax Tables'!$B$24+MIN(MAX(MAX(W629,0)-'Tax Tables'!$B$23,0),'Tax Tables'!$B$25)*'Tax Tables'!$B$26))*1-MIN('Tax Tables'!$B$22*(MAX(W629,0)-IF(Calculator!$B$10="Yes",MIN(MAX(W629,0),'Tax Tables'!$B$27)*'Tax Tables'!$B$28+MIN(MAX(MAX(W629,0)-'Tax Tables'!$B$27,0),'Tax Tables'!$B$29)*'Tax Tables'!$B$30,MIN(MAX(W629,0),'Tax Tables'!$B$23)*'Tax Tables'!$B$24+MIN(MAX(MAX(W629,0)-'Tax Tables'!$B$23,0),'Tax Tables'!$B$25)*'Tax Tables'!$B$26))*Calculator!$B$11,Calculator!$B$12)</f>
        <v>5996.325</v>
      </c>
      <c r="Y629" s="11" t="n">
        <f aca="false">MAX(W629,0)-X629</f>
        <v>69548.675</v>
      </c>
      <c r="Z629" s="11" t="n">
        <f aca="false">MIN(IF(P629&gt;0,Calculator!$B$13,0)+T629+Calculator!$B$14,'Tax Tables'!$B$36)</f>
        <v>20200</v>
      </c>
      <c r="AA629" s="11" t="n">
        <f aca="false">MAX(P629-Z629,0)</f>
        <v>287800</v>
      </c>
      <c r="AB629" s="11" t="n">
        <f aca="false">SUMPRODUCT((AA629&gt;'Tax Tables'!$A$5:$A$17)*(AA629-'Tax Tables'!$A$5:$A$17)*'Tax Tables'!$C$5:$C$17)</f>
        <v>38110</v>
      </c>
      <c r="AC629" s="11" t="n">
        <f aca="false">IF(W629&lt;0,-1E+099,P629-T629-AB629+Y629+(T629+U629)*Calculator!$B$9)</f>
        <v>355758.675</v>
      </c>
    </row>
    <row r="630" customFormat="false" ht="15" hidden="false" customHeight="false" outlineLevel="0" collapsed="false">
      <c r="A630" s="11" t="n">
        <f aca="false">617*$B$3</f>
        <v>308500</v>
      </c>
      <c r="B630" s="11" t="n">
        <f aca="false">0</f>
        <v>0</v>
      </c>
      <c r="C630" s="11" t="n">
        <f aca="false">A630-B630</f>
        <v>308500</v>
      </c>
      <c r="D630" s="11" t="n">
        <f aca="false">IF(Calculator!$B$6="Yes",MIN(B630,'Tax Tables'!$B$31*'Tax Tables'!$B$32),0)</f>
        <v>0</v>
      </c>
      <c r="E630" s="11" t="n">
        <f aca="false">D630*Calculator!$B$7</f>
        <v>0</v>
      </c>
      <c r="F630" s="11" t="n">
        <f aca="false">D630*Calculator!$B$8</f>
        <v>0</v>
      </c>
      <c r="G630" s="11" t="n">
        <f aca="false">IF(B630&gt;0,'Tax Tables'!$B$32*MIN(MAX(B630/'Tax Tables'!$B$32*'Tax Tables'!$B$33,'Tax Tables'!$B$34),'Tax Tables'!$B$35),0)</f>
        <v>0</v>
      </c>
      <c r="H630" s="11" t="n">
        <f aca="false">Calculator!$B$5-A630-F630-G630</f>
        <v>91500</v>
      </c>
      <c r="I630" s="11" t="n">
        <f aca="false">'Tax Tables'!$B$22*(MAX(H630,0)-IF(Calculator!$B$10="Yes",MIN(MAX(H630,0),'Tax Tables'!$B$27)*'Tax Tables'!$B$28+MIN(MAX(MAX(H630,0)-'Tax Tables'!$B$27,0),'Tax Tables'!$B$29)*'Tax Tables'!$B$30,MIN(MAX(H630,0),'Tax Tables'!$B$23)*'Tax Tables'!$B$24+MIN(MAX(MAX(H630,0)-'Tax Tables'!$B$23,0),'Tax Tables'!$B$25)*'Tax Tables'!$B$26))*1-MIN('Tax Tables'!$B$22*(MAX(H630,0)-IF(Calculator!$B$10="Yes",MIN(MAX(H630,0),'Tax Tables'!$B$27)*'Tax Tables'!$B$28+MIN(MAX(MAX(H630,0)-'Tax Tables'!$B$27,0),'Tax Tables'!$B$29)*'Tax Tables'!$B$30,MIN(MAX(H630,0),'Tax Tables'!$B$23)*'Tax Tables'!$B$24+MIN(MAX(MAX(H630,0)-'Tax Tables'!$B$23,0),'Tax Tables'!$B$25)*'Tax Tables'!$B$26))*Calculator!$B$11,Calculator!$B$12)</f>
        <v>7352.5</v>
      </c>
      <c r="J630" s="11" t="n">
        <f aca="false">MAX(H630,0)-I630</f>
        <v>84147.5</v>
      </c>
      <c r="K630" s="11" t="n">
        <f aca="false">MIN(IF(A630&gt;0,Calculator!$B$13,0)+E630+Calculator!$B$14,'Tax Tables'!$B$36)</f>
        <v>1000</v>
      </c>
      <c r="L630" s="11" t="n">
        <f aca="false">MAX(A630-K630,0)</f>
        <v>307500</v>
      </c>
      <c r="M630" s="11" t="n">
        <f aca="false">SUMPRODUCT((L630&gt;'Tax Tables'!$A$5:$A$17)*(L630-'Tax Tables'!$A$5:$A$17)*'Tax Tables'!$C$5:$C$17)</f>
        <v>42050</v>
      </c>
      <c r="N630" s="11" t="n">
        <f aca="false">IF(H630&lt;0,-1E+099,A630-E630-M630+J630+(E630+F630)*Calculator!$B$9)</f>
        <v>350597.5</v>
      </c>
      <c r="O630" s="2"/>
      <c r="P630" s="11" t="n">
        <f aca="false">617*$B$3</f>
        <v>308500</v>
      </c>
      <c r="Q630" s="11" t="n">
        <f aca="false">MIN(P630,'Tax Tables'!$B$31*'Tax Tables'!$B$32)</f>
        <v>96000</v>
      </c>
      <c r="R630" s="11" t="n">
        <f aca="false">P630-Q630</f>
        <v>212500</v>
      </c>
      <c r="S630" s="11" t="n">
        <f aca="false">IF(Calculator!$B$6="Yes",MIN(Q630,'Tax Tables'!$B$31*'Tax Tables'!$B$32),0)</f>
        <v>96000</v>
      </c>
      <c r="T630" s="11" t="n">
        <f aca="false">S630*Calculator!$B$7</f>
        <v>19200</v>
      </c>
      <c r="U630" s="11" t="n">
        <f aca="false">S630*Calculator!$B$8</f>
        <v>16320</v>
      </c>
      <c r="V630" s="11" t="n">
        <f aca="false">IF(Q630&gt;0,'Tax Tables'!$B$32*MIN(MAX(Q630/'Tax Tables'!$B$32*'Tax Tables'!$B$33,'Tax Tables'!$B$34),'Tax Tables'!$B$35),0)</f>
        <v>135</v>
      </c>
      <c r="W630" s="11" t="n">
        <f aca="false">Calculator!$B$5-P630-U630-V630</f>
        <v>75045</v>
      </c>
      <c r="X630" s="11" t="n">
        <f aca="false">'Tax Tables'!$B$22*(MAX(W630,0)-IF(Calculator!$B$10="Yes",MIN(MAX(W630,0),'Tax Tables'!$B$27)*'Tax Tables'!$B$28+MIN(MAX(MAX(W630,0)-'Tax Tables'!$B$27,0),'Tax Tables'!$B$29)*'Tax Tables'!$B$30,MIN(MAX(W630,0),'Tax Tables'!$B$23)*'Tax Tables'!$B$24+MIN(MAX(MAX(W630,0)-'Tax Tables'!$B$23,0),'Tax Tables'!$B$25)*'Tax Tables'!$B$26))*1-MIN('Tax Tables'!$B$22*(MAX(W630,0)-IF(Calculator!$B$10="Yes",MIN(MAX(W630,0),'Tax Tables'!$B$27)*'Tax Tables'!$B$28+MIN(MAX(MAX(W630,0)-'Tax Tables'!$B$27,0),'Tax Tables'!$B$29)*'Tax Tables'!$B$30,MIN(MAX(W630,0),'Tax Tables'!$B$23)*'Tax Tables'!$B$24+MIN(MAX(MAX(W630,0)-'Tax Tables'!$B$23,0),'Tax Tables'!$B$25)*'Tax Tables'!$B$26))*Calculator!$B$11,Calculator!$B$12)</f>
        <v>5953.825</v>
      </c>
      <c r="Y630" s="11" t="n">
        <f aca="false">MAX(W630,0)-X630</f>
        <v>69091.175</v>
      </c>
      <c r="Z630" s="11" t="n">
        <f aca="false">MIN(IF(P630&gt;0,Calculator!$B$13,0)+T630+Calculator!$B$14,'Tax Tables'!$B$36)</f>
        <v>20200</v>
      </c>
      <c r="AA630" s="11" t="n">
        <f aca="false">MAX(P630-Z630,0)</f>
        <v>288300</v>
      </c>
      <c r="AB630" s="11" t="n">
        <f aca="false">SUMPRODUCT((AA630&gt;'Tax Tables'!$A$5:$A$17)*(AA630-'Tax Tables'!$A$5:$A$17)*'Tax Tables'!$C$5:$C$17)</f>
        <v>38210</v>
      </c>
      <c r="AC630" s="11" t="n">
        <f aca="false">IF(W630&lt;0,-1E+099,P630-T630-AB630+Y630+(T630+U630)*Calculator!$B$9)</f>
        <v>355701.175</v>
      </c>
    </row>
    <row r="631" customFormat="false" ht="15" hidden="false" customHeight="false" outlineLevel="0" collapsed="false">
      <c r="A631" s="11" t="n">
        <f aca="false">618*$B$3</f>
        <v>309000</v>
      </c>
      <c r="B631" s="11" t="n">
        <f aca="false">0</f>
        <v>0</v>
      </c>
      <c r="C631" s="11" t="n">
        <f aca="false">A631-B631</f>
        <v>309000</v>
      </c>
      <c r="D631" s="11" t="n">
        <f aca="false">IF(Calculator!$B$6="Yes",MIN(B631,'Tax Tables'!$B$31*'Tax Tables'!$B$32),0)</f>
        <v>0</v>
      </c>
      <c r="E631" s="11" t="n">
        <f aca="false">D631*Calculator!$B$7</f>
        <v>0</v>
      </c>
      <c r="F631" s="11" t="n">
        <f aca="false">D631*Calculator!$B$8</f>
        <v>0</v>
      </c>
      <c r="G631" s="11" t="n">
        <f aca="false">IF(B631&gt;0,'Tax Tables'!$B$32*MIN(MAX(B631/'Tax Tables'!$B$32*'Tax Tables'!$B$33,'Tax Tables'!$B$34),'Tax Tables'!$B$35),0)</f>
        <v>0</v>
      </c>
      <c r="H631" s="11" t="n">
        <f aca="false">Calculator!$B$5-A631-F631-G631</f>
        <v>91000</v>
      </c>
      <c r="I631" s="11" t="n">
        <f aca="false">'Tax Tables'!$B$22*(MAX(H631,0)-IF(Calculator!$B$10="Yes",MIN(MAX(H631,0),'Tax Tables'!$B$27)*'Tax Tables'!$B$28+MIN(MAX(MAX(H631,0)-'Tax Tables'!$B$27,0),'Tax Tables'!$B$29)*'Tax Tables'!$B$30,MIN(MAX(H631,0),'Tax Tables'!$B$23)*'Tax Tables'!$B$24+MIN(MAX(MAX(H631,0)-'Tax Tables'!$B$23,0),'Tax Tables'!$B$25)*'Tax Tables'!$B$26))*1-MIN('Tax Tables'!$B$22*(MAX(H631,0)-IF(Calculator!$B$10="Yes",MIN(MAX(H631,0),'Tax Tables'!$B$27)*'Tax Tables'!$B$28+MIN(MAX(MAX(H631,0)-'Tax Tables'!$B$27,0),'Tax Tables'!$B$29)*'Tax Tables'!$B$30,MIN(MAX(H631,0),'Tax Tables'!$B$23)*'Tax Tables'!$B$24+MIN(MAX(MAX(H631,0)-'Tax Tables'!$B$23,0),'Tax Tables'!$B$25)*'Tax Tables'!$B$26))*Calculator!$B$11,Calculator!$B$12)</f>
        <v>7310</v>
      </c>
      <c r="J631" s="11" t="n">
        <f aca="false">MAX(H631,0)-I631</f>
        <v>83690</v>
      </c>
      <c r="K631" s="11" t="n">
        <f aca="false">MIN(IF(A631&gt;0,Calculator!$B$13,0)+E631+Calculator!$B$14,'Tax Tables'!$B$36)</f>
        <v>1000</v>
      </c>
      <c r="L631" s="11" t="n">
        <f aca="false">MAX(A631-K631,0)</f>
        <v>308000</v>
      </c>
      <c r="M631" s="11" t="n">
        <f aca="false">SUMPRODUCT((L631&gt;'Tax Tables'!$A$5:$A$17)*(L631-'Tax Tables'!$A$5:$A$17)*'Tax Tables'!$C$5:$C$17)</f>
        <v>42150</v>
      </c>
      <c r="N631" s="11" t="n">
        <f aca="false">IF(H631&lt;0,-1E+099,A631-E631-M631+J631+(E631+F631)*Calculator!$B$9)</f>
        <v>350540</v>
      </c>
      <c r="O631" s="2"/>
      <c r="P631" s="11" t="n">
        <f aca="false">618*$B$3</f>
        <v>309000</v>
      </c>
      <c r="Q631" s="11" t="n">
        <f aca="false">MIN(P631,'Tax Tables'!$B$31*'Tax Tables'!$B$32)</f>
        <v>96000</v>
      </c>
      <c r="R631" s="11" t="n">
        <f aca="false">P631-Q631</f>
        <v>213000</v>
      </c>
      <c r="S631" s="11" t="n">
        <f aca="false">IF(Calculator!$B$6="Yes",MIN(Q631,'Tax Tables'!$B$31*'Tax Tables'!$B$32),0)</f>
        <v>96000</v>
      </c>
      <c r="T631" s="11" t="n">
        <f aca="false">S631*Calculator!$B$7</f>
        <v>19200</v>
      </c>
      <c r="U631" s="11" t="n">
        <f aca="false">S631*Calculator!$B$8</f>
        <v>16320</v>
      </c>
      <c r="V631" s="11" t="n">
        <f aca="false">IF(Q631&gt;0,'Tax Tables'!$B$32*MIN(MAX(Q631/'Tax Tables'!$B$32*'Tax Tables'!$B$33,'Tax Tables'!$B$34),'Tax Tables'!$B$35),0)</f>
        <v>135</v>
      </c>
      <c r="W631" s="11" t="n">
        <f aca="false">Calculator!$B$5-P631-U631-V631</f>
        <v>74545</v>
      </c>
      <c r="X631" s="11" t="n">
        <f aca="false">'Tax Tables'!$B$22*(MAX(W631,0)-IF(Calculator!$B$10="Yes",MIN(MAX(W631,0),'Tax Tables'!$B$27)*'Tax Tables'!$B$28+MIN(MAX(MAX(W631,0)-'Tax Tables'!$B$27,0),'Tax Tables'!$B$29)*'Tax Tables'!$B$30,MIN(MAX(W631,0),'Tax Tables'!$B$23)*'Tax Tables'!$B$24+MIN(MAX(MAX(W631,0)-'Tax Tables'!$B$23,0),'Tax Tables'!$B$25)*'Tax Tables'!$B$26))*1-MIN('Tax Tables'!$B$22*(MAX(W631,0)-IF(Calculator!$B$10="Yes",MIN(MAX(W631,0),'Tax Tables'!$B$27)*'Tax Tables'!$B$28+MIN(MAX(MAX(W631,0)-'Tax Tables'!$B$27,0),'Tax Tables'!$B$29)*'Tax Tables'!$B$30,MIN(MAX(W631,0),'Tax Tables'!$B$23)*'Tax Tables'!$B$24+MIN(MAX(MAX(W631,0)-'Tax Tables'!$B$23,0),'Tax Tables'!$B$25)*'Tax Tables'!$B$26))*Calculator!$B$11,Calculator!$B$12)</f>
        <v>5911.325</v>
      </c>
      <c r="Y631" s="11" t="n">
        <f aca="false">MAX(W631,0)-X631</f>
        <v>68633.675</v>
      </c>
      <c r="Z631" s="11" t="n">
        <f aca="false">MIN(IF(P631&gt;0,Calculator!$B$13,0)+T631+Calculator!$B$14,'Tax Tables'!$B$36)</f>
        <v>20200</v>
      </c>
      <c r="AA631" s="11" t="n">
        <f aca="false">MAX(P631-Z631,0)</f>
        <v>288800</v>
      </c>
      <c r="AB631" s="11" t="n">
        <f aca="false">SUMPRODUCT((AA631&gt;'Tax Tables'!$A$5:$A$17)*(AA631-'Tax Tables'!$A$5:$A$17)*'Tax Tables'!$C$5:$C$17)</f>
        <v>38310</v>
      </c>
      <c r="AC631" s="11" t="n">
        <f aca="false">IF(W631&lt;0,-1E+099,P631-T631-AB631+Y631+(T631+U631)*Calculator!$B$9)</f>
        <v>355643.675</v>
      </c>
    </row>
    <row r="632" customFormat="false" ht="15" hidden="false" customHeight="false" outlineLevel="0" collapsed="false">
      <c r="A632" s="11" t="n">
        <f aca="false">619*$B$3</f>
        <v>309500</v>
      </c>
      <c r="B632" s="11" t="n">
        <f aca="false">0</f>
        <v>0</v>
      </c>
      <c r="C632" s="11" t="n">
        <f aca="false">A632-B632</f>
        <v>309500</v>
      </c>
      <c r="D632" s="11" t="n">
        <f aca="false">IF(Calculator!$B$6="Yes",MIN(B632,'Tax Tables'!$B$31*'Tax Tables'!$B$32),0)</f>
        <v>0</v>
      </c>
      <c r="E632" s="11" t="n">
        <f aca="false">D632*Calculator!$B$7</f>
        <v>0</v>
      </c>
      <c r="F632" s="11" t="n">
        <f aca="false">D632*Calculator!$B$8</f>
        <v>0</v>
      </c>
      <c r="G632" s="11" t="n">
        <f aca="false">IF(B632&gt;0,'Tax Tables'!$B$32*MIN(MAX(B632/'Tax Tables'!$B$32*'Tax Tables'!$B$33,'Tax Tables'!$B$34),'Tax Tables'!$B$35),0)</f>
        <v>0</v>
      </c>
      <c r="H632" s="11" t="n">
        <f aca="false">Calculator!$B$5-A632-F632-G632</f>
        <v>90500</v>
      </c>
      <c r="I632" s="11" t="n">
        <f aca="false">'Tax Tables'!$B$22*(MAX(H632,0)-IF(Calculator!$B$10="Yes",MIN(MAX(H632,0),'Tax Tables'!$B$27)*'Tax Tables'!$B$28+MIN(MAX(MAX(H632,0)-'Tax Tables'!$B$27,0),'Tax Tables'!$B$29)*'Tax Tables'!$B$30,MIN(MAX(H632,0),'Tax Tables'!$B$23)*'Tax Tables'!$B$24+MIN(MAX(MAX(H632,0)-'Tax Tables'!$B$23,0),'Tax Tables'!$B$25)*'Tax Tables'!$B$26))*1-MIN('Tax Tables'!$B$22*(MAX(H632,0)-IF(Calculator!$B$10="Yes",MIN(MAX(H632,0),'Tax Tables'!$B$27)*'Tax Tables'!$B$28+MIN(MAX(MAX(H632,0)-'Tax Tables'!$B$27,0),'Tax Tables'!$B$29)*'Tax Tables'!$B$30,MIN(MAX(H632,0),'Tax Tables'!$B$23)*'Tax Tables'!$B$24+MIN(MAX(MAX(H632,0)-'Tax Tables'!$B$23,0),'Tax Tables'!$B$25)*'Tax Tables'!$B$26))*Calculator!$B$11,Calculator!$B$12)</f>
        <v>7267.5</v>
      </c>
      <c r="J632" s="11" t="n">
        <f aca="false">MAX(H632,0)-I632</f>
        <v>83232.5</v>
      </c>
      <c r="K632" s="11" t="n">
        <f aca="false">MIN(IF(A632&gt;0,Calculator!$B$13,0)+E632+Calculator!$B$14,'Tax Tables'!$B$36)</f>
        <v>1000</v>
      </c>
      <c r="L632" s="11" t="n">
        <f aca="false">MAX(A632-K632,0)</f>
        <v>308500</v>
      </c>
      <c r="M632" s="11" t="n">
        <f aca="false">SUMPRODUCT((L632&gt;'Tax Tables'!$A$5:$A$17)*(L632-'Tax Tables'!$A$5:$A$17)*'Tax Tables'!$C$5:$C$17)</f>
        <v>42250</v>
      </c>
      <c r="N632" s="11" t="n">
        <f aca="false">IF(H632&lt;0,-1E+099,A632-E632-M632+J632+(E632+F632)*Calculator!$B$9)</f>
        <v>350482.5</v>
      </c>
      <c r="O632" s="2"/>
      <c r="P632" s="11" t="n">
        <f aca="false">619*$B$3</f>
        <v>309500</v>
      </c>
      <c r="Q632" s="11" t="n">
        <f aca="false">MIN(P632,'Tax Tables'!$B$31*'Tax Tables'!$B$32)</f>
        <v>96000</v>
      </c>
      <c r="R632" s="11" t="n">
        <f aca="false">P632-Q632</f>
        <v>213500</v>
      </c>
      <c r="S632" s="11" t="n">
        <f aca="false">IF(Calculator!$B$6="Yes",MIN(Q632,'Tax Tables'!$B$31*'Tax Tables'!$B$32),0)</f>
        <v>96000</v>
      </c>
      <c r="T632" s="11" t="n">
        <f aca="false">S632*Calculator!$B$7</f>
        <v>19200</v>
      </c>
      <c r="U632" s="11" t="n">
        <f aca="false">S632*Calculator!$B$8</f>
        <v>16320</v>
      </c>
      <c r="V632" s="11" t="n">
        <f aca="false">IF(Q632&gt;0,'Tax Tables'!$B$32*MIN(MAX(Q632/'Tax Tables'!$B$32*'Tax Tables'!$B$33,'Tax Tables'!$B$34),'Tax Tables'!$B$35),0)</f>
        <v>135</v>
      </c>
      <c r="W632" s="11" t="n">
        <f aca="false">Calculator!$B$5-P632-U632-V632</f>
        <v>74045</v>
      </c>
      <c r="X632" s="11" t="n">
        <f aca="false">'Tax Tables'!$B$22*(MAX(W632,0)-IF(Calculator!$B$10="Yes",MIN(MAX(W632,0),'Tax Tables'!$B$27)*'Tax Tables'!$B$28+MIN(MAX(MAX(W632,0)-'Tax Tables'!$B$27,0),'Tax Tables'!$B$29)*'Tax Tables'!$B$30,MIN(MAX(W632,0),'Tax Tables'!$B$23)*'Tax Tables'!$B$24+MIN(MAX(MAX(W632,0)-'Tax Tables'!$B$23,0),'Tax Tables'!$B$25)*'Tax Tables'!$B$26))*1-MIN('Tax Tables'!$B$22*(MAX(W632,0)-IF(Calculator!$B$10="Yes",MIN(MAX(W632,0),'Tax Tables'!$B$27)*'Tax Tables'!$B$28+MIN(MAX(MAX(W632,0)-'Tax Tables'!$B$27,0),'Tax Tables'!$B$29)*'Tax Tables'!$B$30,MIN(MAX(W632,0),'Tax Tables'!$B$23)*'Tax Tables'!$B$24+MIN(MAX(MAX(W632,0)-'Tax Tables'!$B$23,0),'Tax Tables'!$B$25)*'Tax Tables'!$B$26))*Calculator!$B$11,Calculator!$B$12)</f>
        <v>5868.825</v>
      </c>
      <c r="Y632" s="11" t="n">
        <f aca="false">MAX(W632,0)-X632</f>
        <v>68176.175</v>
      </c>
      <c r="Z632" s="11" t="n">
        <f aca="false">MIN(IF(P632&gt;0,Calculator!$B$13,0)+T632+Calculator!$B$14,'Tax Tables'!$B$36)</f>
        <v>20200</v>
      </c>
      <c r="AA632" s="11" t="n">
        <f aca="false">MAX(P632-Z632,0)</f>
        <v>289300</v>
      </c>
      <c r="AB632" s="11" t="n">
        <f aca="false">SUMPRODUCT((AA632&gt;'Tax Tables'!$A$5:$A$17)*(AA632-'Tax Tables'!$A$5:$A$17)*'Tax Tables'!$C$5:$C$17)</f>
        <v>38410</v>
      </c>
      <c r="AC632" s="11" t="n">
        <f aca="false">IF(W632&lt;0,-1E+099,P632-T632-AB632+Y632+(T632+U632)*Calculator!$B$9)</f>
        <v>355586.175</v>
      </c>
    </row>
    <row r="633" customFormat="false" ht="15" hidden="false" customHeight="false" outlineLevel="0" collapsed="false">
      <c r="A633" s="11" t="n">
        <f aca="false">620*$B$3</f>
        <v>310000</v>
      </c>
      <c r="B633" s="11" t="n">
        <f aca="false">0</f>
        <v>0</v>
      </c>
      <c r="C633" s="11" t="n">
        <f aca="false">A633-B633</f>
        <v>310000</v>
      </c>
      <c r="D633" s="11" t="n">
        <f aca="false">IF(Calculator!$B$6="Yes",MIN(B633,'Tax Tables'!$B$31*'Tax Tables'!$B$32),0)</f>
        <v>0</v>
      </c>
      <c r="E633" s="11" t="n">
        <f aca="false">D633*Calculator!$B$7</f>
        <v>0</v>
      </c>
      <c r="F633" s="11" t="n">
        <f aca="false">D633*Calculator!$B$8</f>
        <v>0</v>
      </c>
      <c r="G633" s="11" t="n">
        <f aca="false">IF(B633&gt;0,'Tax Tables'!$B$32*MIN(MAX(B633/'Tax Tables'!$B$32*'Tax Tables'!$B$33,'Tax Tables'!$B$34),'Tax Tables'!$B$35),0)</f>
        <v>0</v>
      </c>
      <c r="H633" s="11" t="n">
        <f aca="false">Calculator!$B$5-A633-F633-G633</f>
        <v>90000</v>
      </c>
      <c r="I633" s="11" t="n">
        <f aca="false">'Tax Tables'!$B$22*(MAX(H633,0)-IF(Calculator!$B$10="Yes",MIN(MAX(H633,0),'Tax Tables'!$B$27)*'Tax Tables'!$B$28+MIN(MAX(MAX(H633,0)-'Tax Tables'!$B$27,0),'Tax Tables'!$B$29)*'Tax Tables'!$B$30,MIN(MAX(H633,0),'Tax Tables'!$B$23)*'Tax Tables'!$B$24+MIN(MAX(MAX(H633,0)-'Tax Tables'!$B$23,0),'Tax Tables'!$B$25)*'Tax Tables'!$B$26))*1-MIN('Tax Tables'!$B$22*(MAX(H633,0)-IF(Calculator!$B$10="Yes",MIN(MAX(H633,0),'Tax Tables'!$B$27)*'Tax Tables'!$B$28+MIN(MAX(MAX(H633,0)-'Tax Tables'!$B$27,0),'Tax Tables'!$B$29)*'Tax Tables'!$B$30,MIN(MAX(H633,0),'Tax Tables'!$B$23)*'Tax Tables'!$B$24+MIN(MAX(MAX(H633,0)-'Tax Tables'!$B$23,0),'Tax Tables'!$B$25)*'Tax Tables'!$B$26))*Calculator!$B$11,Calculator!$B$12)</f>
        <v>7225</v>
      </c>
      <c r="J633" s="11" t="n">
        <f aca="false">MAX(H633,0)-I633</f>
        <v>82775</v>
      </c>
      <c r="K633" s="11" t="n">
        <f aca="false">MIN(IF(A633&gt;0,Calculator!$B$13,0)+E633+Calculator!$B$14,'Tax Tables'!$B$36)</f>
        <v>1000</v>
      </c>
      <c r="L633" s="11" t="n">
        <f aca="false">MAX(A633-K633,0)</f>
        <v>309000</v>
      </c>
      <c r="M633" s="11" t="n">
        <f aca="false">SUMPRODUCT((L633&gt;'Tax Tables'!$A$5:$A$17)*(L633-'Tax Tables'!$A$5:$A$17)*'Tax Tables'!$C$5:$C$17)</f>
        <v>42350</v>
      </c>
      <c r="N633" s="11" t="n">
        <f aca="false">IF(H633&lt;0,-1E+099,A633-E633-M633+J633+(E633+F633)*Calculator!$B$9)</f>
        <v>350425</v>
      </c>
      <c r="O633" s="2"/>
      <c r="P633" s="11" t="n">
        <f aca="false">620*$B$3</f>
        <v>310000</v>
      </c>
      <c r="Q633" s="11" t="n">
        <f aca="false">MIN(P633,'Tax Tables'!$B$31*'Tax Tables'!$B$32)</f>
        <v>96000</v>
      </c>
      <c r="R633" s="11" t="n">
        <f aca="false">P633-Q633</f>
        <v>214000</v>
      </c>
      <c r="S633" s="11" t="n">
        <f aca="false">IF(Calculator!$B$6="Yes",MIN(Q633,'Tax Tables'!$B$31*'Tax Tables'!$B$32),0)</f>
        <v>96000</v>
      </c>
      <c r="T633" s="11" t="n">
        <f aca="false">S633*Calculator!$B$7</f>
        <v>19200</v>
      </c>
      <c r="U633" s="11" t="n">
        <f aca="false">S633*Calculator!$B$8</f>
        <v>16320</v>
      </c>
      <c r="V633" s="11" t="n">
        <f aca="false">IF(Q633&gt;0,'Tax Tables'!$B$32*MIN(MAX(Q633/'Tax Tables'!$B$32*'Tax Tables'!$B$33,'Tax Tables'!$B$34),'Tax Tables'!$B$35),0)</f>
        <v>135</v>
      </c>
      <c r="W633" s="11" t="n">
        <f aca="false">Calculator!$B$5-P633-U633-V633</f>
        <v>73545</v>
      </c>
      <c r="X633" s="11" t="n">
        <f aca="false">'Tax Tables'!$B$22*(MAX(W633,0)-IF(Calculator!$B$10="Yes",MIN(MAX(W633,0),'Tax Tables'!$B$27)*'Tax Tables'!$B$28+MIN(MAX(MAX(W633,0)-'Tax Tables'!$B$27,0),'Tax Tables'!$B$29)*'Tax Tables'!$B$30,MIN(MAX(W633,0),'Tax Tables'!$B$23)*'Tax Tables'!$B$24+MIN(MAX(MAX(W633,0)-'Tax Tables'!$B$23,0),'Tax Tables'!$B$25)*'Tax Tables'!$B$26))*1-MIN('Tax Tables'!$B$22*(MAX(W633,0)-IF(Calculator!$B$10="Yes",MIN(MAX(W633,0),'Tax Tables'!$B$27)*'Tax Tables'!$B$28+MIN(MAX(MAX(W633,0)-'Tax Tables'!$B$27,0),'Tax Tables'!$B$29)*'Tax Tables'!$B$30,MIN(MAX(W633,0),'Tax Tables'!$B$23)*'Tax Tables'!$B$24+MIN(MAX(MAX(W633,0)-'Tax Tables'!$B$23,0),'Tax Tables'!$B$25)*'Tax Tables'!$B$26))*Calculator!$B$11,Calculator!$B$12)</f>
        <v>5826.325</v>
      </c>
      <c r="Y633" s="11" t="n">
        <f aca="false">MAX(W633,0)-X633</f>
        <v>67718.675</v>
      </c>
      <c r="Z633" s="11" t="n">
        <f aca="false">MIN(IF(P633&gt;0,Calculator!$B$13,0)+T633+Calculator!$B$14,'Tax Tables'!$B$36)</f>
        <v>20200</v>
      </c>
      <c r="AA633" s="11" t="n">
        <f aca="false">MAX(P633-Z633,0)</f>
        <v>289800</v>
      </c>
      <c r="AB633" s="11" t="n">
        <f aca="false">SUMPRODUCT((AA633&gt;'Tax Tables'!$A$5:$A$17)*(AA633-'Tax Tables'!$A$5:$A$17)*'Tax Tables'!$C$5:$C$17)</f>
        <v>38510</v>
      </c>
      <c r="AC633" s="11" t="n">
        <f aca="false">IF(W633&lt;0,-1E+099,P633-T633-AB633+Y633+(T633+U633)*Calculator!$B$9)</f>
        <v>355528.675</v>
      </c>
    </row>
    <row r="634" customFormat="false" ht="15" hidden="false" customHeight="false" outlineLevel="0" collapsed="false">
      <c r="A634" s="11" t="n">
        <f aca="false">621*$B$3</f>
        <v>310500</v>
      </c>
      <c r="B634" s="11" t="n">
        <f aca="false">0</f>
        <v>0</v>
      </c>
      <c r="C634" s="11" t="n">
        <f aca="false">A634-B634</f>
        <v>310500</v>
      </c>
      <c r="D634" s="11" t="n">
        <f aca="false">IF(Calculator!$B$6="Yes",MIN(B634,'Tax Tables'!$B$31*'Tax Tables'!$B$32),0)</f>
        <v>0</v>
      </c>
      <c r="E634" s="11" t="n">
        <f aca="false">D634*Calculator!$B$7</f>
        <v>0</v>
      </c>
      <c r="F634" s="11" t="n">
        <f aca="false">D634*Calculator!$B$8</f>
        <v>0</v>
      </c>
      <c r="G634" s="11" t="n">
        <f aca="false">IF(B634&gt;0,'Tax Tables'!$B$32*MIN(MAX(B634/'Tax Tables'!$B$32*'Tax Tables'!$B$33,'Tax Tables'!$B$34),'Tax Tables'!$B$35),0)</f>
        <v>0</v>
      </c>
      <c r="H634" s="11" t="n">
        <f aca="false">Calculator!$B$5-A634-F634-G634</f>
        <v>89500</v>
      </c>
      <c r="I634" s="11" t="n">
        <f aca="false">'Tax Tables'!$B$22*(MAX(H634,0)-IF(Calculator!$B$10="Yes",MIN(MAX(H634,0),'Tax Tables'!$B$27)*'Tax Tables'!$B$28+MIN(MAX(MAX(H634,0)-'Tax Tables'!$B$27,0),'Tax Tables'!$B$29)*'Tax Tables'!$B$30,MIN(MAX(H634,0),'Tax Tables'!$B$23)*'Tax Tables'!$B$24+MIN(MAX(MAX(H634,0)-'Tax Tables'!$B$23,0),'Tax Tables'!$B$25)*'Tax Tables'!$B$26))*1-MIN('Tax Tables'!$B$22*(MAX(H634,0)-IF(Calculator!$B$10="Yes",MIN(MAX(H634,0),'Tax Tables'!$B$27)*'Tax Tables'!$B$28+MIN(MAX(MAX(H634,0)-'Tax Tables'!$B$27,0),'Tax Tables'!$B$29)*'Tax Tables'!$B$30,MIN(MAX(H634,0),'Tax Tables'!$B$23)*'Tax Tables'!$B$24+MIN(MAX(MAX(H634,0)-'Tax Tables'!$B$23,0),'Tax Tables'!$B$25)*'Tax Tables'!$B$26))*Calculator!$B$11,Calculator!$B$12)</f>
        <v>7182.5</v>
      </c>
      <c r="J634" s="11" t="n">
        <f aca="false">MAX(H634,0)-I634</f>
        <v>82317.5</v>
      </c>
      <c r="K634" s="11" t="n">
        <f aca="false">MIN(IF(A634&gt;0,Calculator!$B$13,0)+E634+Calculator!$B$14,'Tax Tables'!$B$36)</f>
        <v>1000</v>
      </c>
      <c r="L634" s="11" t="n">
        <f aca="false">MAX(A634-K634,0)</f>
        <v>309500</v>
      </c>
      <c r="M634" s="11" t="n">
        <f aca="false">SUMPRODUCT((L634&gt;'Tax Tables'!$A$5:$A$17)*(L634-'Tax Tables'!$A$5:$A$17)*'Tax Tables'!$C$5:$C$17)</f>
        <v>42450</v>
      </c>
      <c r="N634" s="11" t="n">
        <f aca="false">IF(H634&lt;0,-1E+099,A634-E634-M634+J634+(E634+F634)*Calculator!$B$9)</f>
        <v>350367.5</v>
      </c>
      <c r="O634" s="2"/>
      <c r="P634" s="11" t="n">
        <f aca="false">621*$B$3</f>
        <v>310500</v>
      </c>
      <c r="Q634" s="11" t="n">
        <f aca="false">MIN(P634,'Tax Tables'!$B$31*'Tax Tables'!$B$32)</f>
        <v>96000</v>
      </c>
      <c r="R634" s="11" t="n">
        <f aca="false">P634-Q634</f>
        <v>214500</v>
      </c>
      <c r="S634" s="11" t="n">
        <f aca="false">IF(Calculator!$B$6="Yes",MIN(Q634,'Tax Tables'!$B$31*'Tax Tables'!$B$32),0)</f>
        <v>96000</v>
      </c>
      <c r="T634" s="11" t="n">
        <f aca="false">S634*Calculator!$B$7</f>
        <v>19200</v>
      </c>
      <c r="U634" s="11" t="n">
        <f aca="false">S634*Calculator!$B$8</f>
        <v>16320</v>
      </c>
      <c r="V634" s="11" t="n">
        <f aca="false">IF(Q634&gt;0,'Tax Tables'!$B$32*MIN(MAX(Q634/'Tax Tables'!$B$32*'Tax Tables'!$B$33,'Tax Tables'!$B$34),'Tax Tables'!$B$35),0)</f>
        <v>135</v>
      </c>
      <c r="W634" s="11" t="n">
        <f aca="false">Calculator!$B$5-P634-U634-V634</f>
        <v>73045</v>
      </c>
      <c r="X634" s="11" t="n">
        <f aca="false">'Tax Tables'!$B$22*(MAX(W634,0)-IF(Calculator!$B$10="Yes",MIN(MAX(W634,0),'Tax Tables'!$B$27)*'Tax Tables'!$B$28+MIN(MAX(MAX(W634,0)-'Tax Tables'!$B$27,0),'Tax Tables'!$B$29)*'Tax Tables'!$B$30,MIN(MAX(W634,0),'Tax Tables'!$B$23)*'Tax Tables'!$B$24+MIN(MAX(MAX(W634,0)-'Tax Tables'!$B$23,0),'Tax Tables'!$B$25)*'Tax Tables'!$B$26))*1-MIN('Tax Tables'!$B$22*(MAX(W634,0)-IF(Calculator!$B$10="Yes",MIN(MAX(W634,0),'Tax Tables'!$B$27)*'Tax Tables'!$B$28+MIN(MAX(MAX(W634,0)-'Tax Tables'!$B$27,0),'Tax Tables'!$B$29)*'Tax Tables'!$B$30,MIN(MAX(W634,0),'Tax Tables'!$B$23)*'Tax Tables'!$B$24+MIN(MAX(MAX(W634,0)-'Tax Tables'!$B$23,0),'Tax Tables'!$B$25)*'Tax Tables'!$B$26))*Calculator!$B$11,Calculator!$B$12)</f>
        <v>5783.825</v>
      </c>
      <c r="Y634" s="11" t="n">
        <f aca="false">MAX(W634,0)-X634</f>
        <v>67261.175</v>
      </c>
      <c r="Z634" s="11" t="n">
        <f aca="false">MIN(IF(P634&gt;0,Calculator!$B$13,0)+T634+Calculator!$B$14,'Tax Tables'!$B$36)</f>
        <v>20200</v>
      </c>
      <c r="AA634" s="11" t="n">
        <f aca="false">MAX(P634-Z634,0)</f>
        <v>290300</v>
      </c>
      <c r="AB634" s="11" t="n">
        <f aca="false">SUMPRODUCT((AA634&gt;'Tax Tables'!$A$5:$A$17)*(AA634-'Tax Tables'!$A$5:$A$17)*'Tax Tables'!$C$5:$C$17)</f>
        <v>38610</v>
      </c>
      <c r="AC634" s="11" t="n">
        <f aca="false">IF(W634&lt;0,-1E+099,P634-T634-AB634+Y634+(T634+U634)*Calculator!$B$9)</f>
        <v>355471.175</v>
      </c>
    </row>
    <row r="635" customFormat="false" ht="15" hidden="false" customHeight="false" outlineLevel="0" collapsed="false">
      <c r="A635" s="11" t="n">
        <f aca="false">622*$B$3</f>
        <v>311000</v>
      </c>
      <c r="B635" s="11" t="n">
        <f aca="false">0</f>
        <v>0</v>
      </c>
      <c r="C635" s="11" t="n">
        <f aca="false">A635-B635</f>
        <v>311000</v>
      </c>
      <c r="D635" s="11" t="n">
        <f aca="false">IF(Calculator!$B$6="Yes",MIN(B635,'Tax Tables'!$B$31*'Tax Tables'!$B$32),0)</f>
        <v>0</v>
      </c>
      <c r="E635" s="11" t="n">
        <f aca="false">D635*Calculator!$B$7</f>
        <v>0</v>
      </c>
      <c r="F635" s="11" t="n">
        <f aca="false">D635*Calculator!$B$8</f>
        <v>0</v>
      </c>
      <c r="G635" s="11" t="n">
        <f aca="false">IF(B635&gt;0,'Tax Tables'!$B$32*MIN(MAX(B635/'Tax Tables'!$B$32*'Tax Tables'!$B$33,'Tax Tables'!$B$34),'Tax Tables'!$B$35),0)</f>
        <v>0</v>
      </c>
      <c r="H635" s="11" t="n">
        <f aca="false">Calculator!$B$5-A635-F635-G635</f>
        <v>89000</v>
      </c>
      <c r="I635" s="11" t="n">
        <f aca="false">'Tax Tables'!$B$22*(MAX(H635,0)-IF(Calculator!$B$10="Yes",MIN(MAX(H635,0),'Tax Tables'!$B$27)*'Tax Tables'!$B$28+MIN(MAX(MAX(H635,0)-'Tax Tables'!$B$27,0),'Tax Tables'!$B$29)*'Tax Tables'!$B$30,MIN(MAX(H635,0),'Tax Tables'!$B$23)*'Tax Tables'!$B$24+MIN(MAX(MAX(H635,0)-'Tax Tables'!$B$23,0),'Tax Tables'!$B$25)*'Tax Tables'!$B$26))*1-MIN('Tax Tables'!$B$22*(MAX(H635,0)-IF(Calculator!$B$10="Yes",MIN(MAX(H635,0),'Tax Tables'!$B$27)*'Tax Tables'!$B$28+MIN(MAX(MAX(H635,0)-'Tax Tables'!$B$27,0),'Tax Tables'!$B$29)*'Tax Tables'!$B$30,MIN(MAX(H635,0),'Tax Tables'!$B$23)*'Tax Tables'!$B$24+MIN(MAX(MAX(H635,0)-'Tax Tables'!$B$23,0),'Tax Tables'!$B$25)*'Tax Tables'!$B$26))*Calculator!$B$11,Calculator!$B$12)</f>
        <v>7140</v>
      </c>
      <c r="J635" s="11" t="n">
        <f aca="false">MAX(H635,0)-I635</f>
        <v>81860</v>
      </c>
      <c r="K635" s="11" t="n">
        <f aca="false">MIN(IF(A635&gt;0,Calculator!$B$13,0)+E635+Calculator!$B$14,'Tax Tables'!$B$36)</f>
        <v>1000</v>
      </c>
      <c r="L635" s="11" t="n">
        <f aca="false">MAX(A635-K635,0)</f>
        <v>310000</v>
      </c>
      <c r="M635" s="11" t="n">
        <f aca="false">SUMPRODUCT((L635&gt;'Tax Tables'!$A$5:$A$17)*(L635-'Tax Tables'!$A$5:$A$17)*'Tax Tables'!$C$5:$C$17)</f>
        <v>42550</v>
      </c>
      <c r="N635" s="11" t="n">
        <f aca="false">IF(H635&lt;0,-1E+099,A635-E635-M635+J635+(E635+F635)*Calculator!$B$9)</f>
        <v>350310</v>
      </c>
      <c r="O635" s="2"/>
      <c r="P635" s="11" t="n">
        <f aca="false">622*$B$3</f>
        <v>311000</v>
      </c>
      <c r="Q635" s="11" t="n">
        <f aca="false">MIN(P635,'Tax Tables'!$B$31*'Tax Tables'!$B$32)</f>
        <v>96000</v>
      </c>
      <c r="R635" s="11" t="n">
        <f aca="false">P635-Q635</f>
        <v>215000</v>
      </c>
      <c r="S635" s="11" t="n">
        <f aca="false">IF(Calculator!$B$6="Yes",MIN(Q635,'Tax Tables'!$B$31*'Tax Tables'!$B$32),0)</f>
        <v>96000</v>
      </c>
      <c r="T635" s="11" t="n">
        <f aca="false">S635*Calculator!$B$7</f>
        <v>19200</v>
      </c>
      <c r="U635" s="11" t="n">
        <f aca="false">S635*Calculator!$B$8</f>
        <v>16320</v>
      </c>
      <c r="V635" s="11" t="n">
        <f aca="false">IF(Q635&gt;0,'Tax Tables'!$B$32*MIN(MAX(Q635/'Tax Tables'!$B$32*'Tax Tables'!$B$33,'Tax Tables'!$B$34),'Tax Tables'!$B$35),0)</f>
        <v>135</v>
      </c>
      <c r="W635" s="11" t="n">
        <f aca="false">Calculator!$B$5-P635-U635-V635</f>
        <v>72545</v>
      </c>
      <c r="X635" s="11" t="n">
        <f aca="false">'Tax Tables'!$B$22*(MAX(W635,0)-IF(Calculator!$B$10="Yes",MIN(MAX(W635,0),'Tax Tables'!$B$27)*'Tax Tables'!$B$28+MIN(MAX(MAX(W635,0)-'Tax Tables'!$B$27,0),'Tax Tables'!$B$29)*'Tax Tables'!$B$30,MIN(MAX(W635,0),'Tax Tables'!$B$23)*'Tax Tables'!$B$24+MIN(MAX(MAX(W635,0)-'Tax Tables'!$B$23,0),'Tax Tables'!$B$25)*'Tax Tables'!$B$26))*1-MIN('Tax Tables'!$B$22*(MAX(W635,0)-IF(Calculator!$B$10="Yes",MIN(MAX(W635,0),'Tax Tables'!$B$27)*'Tax Tables'!$B$28+MIN(MAX(MAX(W635,0)-'Tax Tables'!$B$27,0),'Tax Tables'!$B$29)*'Tax Tables'!$B$30,MIN(MAX(W635,0),'Tax Tables'!$B$23)*'Tax Tables'!$B$24+MIN(MAX(MAX(W635,0)-'Tax Tables'!$B$23,0),'Tax Tables'!$B$25)*'Tax Tables'!$B$26))*Calculator!$B$11,Calculator!$B$12)</f>
        <v>5741.325</v>
      </c>
      <c r="Y635" s="11" t="n">
        <f aca="false">MAX(W635,0)-X635</f>
        <v>66803.675</v>
      </c>
      <c r="Z635" s="11" t="n">
        <f aca="false">MIN(IF(P635&gt;0,Calculator!$B$13,0)+T635+Calculator!$B$14,'Tax Tables'!$B$36)</f>
        <v>20200</v>
      </c>
      <c r="AA635" s="11" t="n">
        <f aca="false">MAX(P635-Z635,0)</f>
        <v>290800</v>
      </c>
      <c r="AB635" s="11" t="n">
        <f aca="false">SUMPRODUCT((AA635&gt;'Tax Tables'!$A$5:$A$17)*(AA635-'Tax Tables'!$A$5:$A$17)*'Tax Tables'!$C$5:$C$17)</f>
        <v>38710</v>
      </c>
      <c r="AC635" s="11" t="n">
        <f aca="false">IF(W635&lt;0,-1E+099,P635-T635-AB635+Y635+(T635+U635)*Calculator!$B$9)</f>
        <v>355413.675</v>
      </c>
    </row>
    <row r="636" customFormat="false" ht="15" hidden="false" customHeight="false" outlineLevel="0" collapsed="false">
      <c r="A636" s="11" t="n">
        <f aca="false">623*$B$3</f>
        <v>311500</v>
      </c>
      <c r="B636" s="11" t="n">
        <f aca="false">0</f>
        <v>0</v>
      </c>
      <c r="C636" s="11" t="n">
        <f aca="false">A636-B636</f>
        <v>311500</v>
      </c>
      <c r="D636" s="11" t="n">
        <f aca="false">IF(Calculator!$B$6="Yes",MIN(B636,'Tax Tables'!$B$31*'Tax Tables'!$B$32),0)</f>
        <v>0</v>
      </c>
      <c r="E636" s="11" t="n">
        <f aca="false">D636*Calculator!$B$7</f>
        <v>0</v>
      </c>
      <c r="F636" s="11" t="n">
        <f aca="false">D636*Calculator!$B$8</f>
        <v>0</v>
      </c>
      <c r="G636" s="11" t="n">
        <f aca="false">IF(B636&gt;0,'Tax Tables'!$B$32*MIN(MAX(B636/'Tax Tables'!$B$32*'Tax Tables'!$B$33,'Tax Tables'!$B$34),'Tax Tables'!$B$35),0)</f>
        <v>0</v>
      </c>
      <c r="H636" s="11" t="n">
        <f aca="false">Calculator!$B$5-A636-F636-G636</f>
        <v>88500</v>
      </c>
      <c r="I636" s="11" t="n">
        <f aca="false">'Tax Tables'!$B$22*(MAX(H636,0)-IF(Calculator!$B$10="Yes",MIN(MAX(H636,0),'Tax Tables'!$B$27)*'Tax Tables'!$B$28+MIN(MAX(MAX(H636,0)-'Tax Tables'!$B$27,0),'Tax Tables'!$B$29)*'Tax Tables'!$B$30,MIN(MAX(H636,0),'Tax Tables'!$B$23)*'Tax Tables'!$B$24+MIN(MAX(MAX(H636,0)-'Tax Tables'!$B$23,0),'Tax Tables'!$B$25)*'Tax Tables'!$B$26))*1-MIN('Tax Tables'!$B$22*(MAX(H636,0)-IF(Calculator!$B$10="Yes",MIN(MAX(H636,0),'Tax Tables'!$B$27)*'Tax Tables'!$B$28+MIN(MAX(MAX(H636,0)-'Tax Tables'!$B$27,0),'Tax Tables'!$B$29)*'Tax Tables'!$B$30,MIN(MAX(H636,0),'Tax Tables'!$B$23)*'Tax Tables'!$B$24+MIN(MAX(MAX(H636,0)-'Tax Tables'!$B$23,0),'Tax Tables'!$B$25)*'Tax Tables'!$B$26))*Calculator!$B$11,Calculator!$B$12)</f>
        <v>7097.5</v>
      </c>
      <c r="J636" s="11" t="n">
        <f aca="false">MAX(H636,0)-I636</f>
        <v>81402.5</v>
      </c>
      <c r="K636" s="11" t="n">
        <f aca="false">MIN(IF(A636&gt;0,Calculator!$B$13,0)+E636+Calculator!$B$14,'Tax Tables'!$B$36)</f>
        <v>1000</v>
      </c>
      <c r="L636" s="11" t="n">
        <f aca="false">MAX(A636-K636,0)</f>
        <v>310500</v>
      </c>
      <c r="M636" s="11" t="n">
        <f aca="false">SUMPRODUCT((L636&gt;'Tax Tables'!$A$5:$A$17)*(L636-'Tax Tables'!$A$5:$A$17)*'Tax Tables'!$C$5:$C$17)</f>
        <v>42650</v>
      </c>
      <c r="N636" s="11" t="n">
        <f aca="false">IF(H636&lt;0,-1E+099,A636-E636-M636+J636+(E636+F636)*Calculator!$B$9)</f>
        <v>350252.5</v>
      </c>
      <c r="O636" s="2"/>
      <c r="P636" s="11" t="n">
        <f aca="false">623*$B$3</f>
        <v>311500</v>
      </c>
      <c r="Q636" s="11" t="n">
        <f aca="false">MIN(P636,'Tax Tables'!$B$31*'Tax Tables'!$B$32)</f>
        <v>96000</v>
      </c>
      <c r="R636" s="11" t="n">
        <f aca="false">P636-Q636</f>
        <v>215500</v>
      </c>
      <c r="S636" s="11" t="n">
        <f aca="false">IF(Calculator!$B$6="Yes",MIN(Q636,'Tax Tables'!$B$31*'Tax Tables'!$B$32),0)</f>
        <v>96000</v>
      </c>
      <c r="T636" s="11" t="n">
        <f aca="false">S636*Calculator!$B$7</f>
        <v>19200</v>
      </c>
      <c r="U636" s="11" t="n">
        <f aca="false">S636*Calculator!$B$8</f>
        <v>16320</v>
      </c>
      <c r="V636" s="11" t="n">
        <f aca="false">IF(Q636&gt;0,'Tax Tables'!$B$32*MIN(MAX(Q636/'Tax Tables'!$B$32*'Tax Tables'!$B$33,'Tax Tables'!$B$34),'Tax Tables'!$B$35),0)</f>
        <v>135</v>
      </c>
      <c r="W636" s="11" t="n">
        <f aca="false">Calculator!$B$5-P636-U636-V636</f>
        <v>72045</v>
      </c>
      <c r="X636" s="11" t="n">
        <f aca="false">'Tax Tables'!$B$22*(MAX(W636,0)-IF(Calculator!$B$10="Yes",MIN(MAX(W636,0),'Tax Tables'!$B$27)*'Tax Tables'!$B$28+MIN(MAX(MAX(W636,0)-'Tax Tables'!$B$27,0),'Tax Tables'!$B$29)*'Tax Tables'!$B$30,MIN(MAX(W636,0),'Tax Tables'!$B$23)*'Tax Tables'!$B$24+MIN(MAX(MAX(W636,0)-'Tax Tables'!$B$23,0),'Tax Tables'!$B$25)*'Tax Tables'!$B$26))*1-MIN('Tax Tables'!$B$22*(MAX(W636,0)-IF(Calculator!$B$10="Yes",MIN(MAX(W636,0),'Tax Tables'!$B$27)*'Tax Tables'!$B$28+MIN(MAX(MAX(W636,0)-'Tax Tables'!$B$27,0),'Tax Tables'!$B$29)*'Tax Tables'!$B$30,MIN(MAX(W636,0),'Tax Tables'!$B$23)*'Tax Tables'!$B$24+MIN(MAX(MAX(W636,0)-'Tax Tables'!$B$23,0),'Tax Tables'!$B$25)*'Tax Tables'!$B$26))*Calculator!$B$11,Calculator!$B$12)</f>
        <v>5698.825</v>
      </c>
      <c r="Y636" s="11" t="n">
        <f aca="false">MAX(W636,0)-X636</f>
        <v>66346.175</v>
      </c>
      <c r="Z636" s="11" t="n">
        <f aca="false">MIN(IF(P636&gt;0,Calculator!$B$13,0)+T636+Calculator!$B$14,'Tax Tables'!$B$36)</f>
        <v>20200</v>
      </c>
      <c r="AA636" s="11" t="n">
        <f aca="false">MAX(P636-Z636,0)</f>
        <v>291300</v>
      </c>
      <c r="AB636" s="11" t="n">
        <f aca="false">SUMPRODUCT((AA636&gt;'Tax Tables'!$A$5:$A$17)*(AA636-'Tax Tables'!$A$5:$A$17)*'Tax Tables'!$C$5:$C$17)</f>
        <v>38810</v>
      </c>
      <c r="AC636" s="11" t="n">
        <f aca="false">IF(W636&lt;0,-1E+099,P636-T636-AB636+Y636+(T636+U636)*Calculator!$B$9)</f>
        <v>355356.175</v>
      </c>
    </row>
    <row r="637" customFormat="false" ht="15" hidden="false" customHeight="false" outlineLevel="0" collapsed="false">
      <c r="A637" s="11" t="n">
        <f aca="false">624*$B$3</f>
        <v>312000</v>
      </c>
      <c r="B637" s="11" t="n">
        <f aca="false">0</f>
        <v>0</v>
      </c>
      <c r="C637" s="11" t="n">
        <f aca="false">A637-B637</f>
        <v>312000</v>
      </c>
      <c r="D637" s="11" t="n">
        <f aca="false">IF(Calculator!$B$6="Yes",MIN(B637,'Tax Tables'!$B$31*'Tax Tables'!$B$32),0)</f>
        <v>0</v>
      </c>
      <c r="E637" s="11" t="n">
        <f aca="false">D637*Calculator!$B$7</f>
        <v>0</v>
      </c>
      <c r="F637" s="11" t="n">
        <f aca="false">D637*Calculator!$B$8</f>
        <v>0</v>
      </c>
      <c r="G637" s="11" t="n">
        <f aca="false">IF(B637&gt;0,'Tax Tables'!$B$32*MIN(MAX(B637/'Tax Tables'!$B$32*'Tax Tables'!$B$33,'Tax Tables'!$B$34),'Tax Tables'!$B$35),0)</f>
        <v>0</v>
      </c>
      <c r="H637" s="11" t="n">
        <f aca="false">Calculator!$B$5-A637-F637-G637</f>
        <v>88000</v>
      </c>
      <c r="I637" s="11" t="n">
        <f aca="false">'Tax Tables'!$B$22*(MAX(H637,0)-IF(Calculator!$B$10="Yes",MIN(MAX(H637,0),'Tax Tables'!$B$27)*'Tax Tables'!$B$28+MIN(MAX(MAX(H637,0)-'Tax Tables'!$B$27,0),'Tax Tables'!$B$29)*'Tax Tables'!$B$30,MIN(MAX(H637,0),'Tax Tables'!$B$23)*'Tax Tables'!$B$24+MIN(MAX(MAX(H637,0)-'Tax Tables'!$B$23,0),'Tax Tables'!$B$25)*'Tax Tables'!$B$26))*1-MIN('Tax Tables'!$B$22*(MAX(H637,0)-IF(Calculator!$B$10="Yes",MIN(MAX(H637,0),'Tax Tables'!$B$27)*'Tax Tables'!$B$28+MIN(MAX(MAX(H637,0)-'Tax Tables'!$B$27,0),'Tax Tables'!$B$29)*'Tax Tables'!$B$30,MIN(MAX(H637,0),'Tax Tables'!$B$23)*'Tax Tables'!$B$24+MIN(MAX(MAX(H637,0)-'Tax Tables'!$B$23,0),'Tax Tables'!$B$25)*'Tax Tables'!$B$26))*Calculator!$B$11,Calculator!$B$12)</f>
        <v>7055</v>
      </c>
      <c r="J637" s="11" t="n">
        <f aca="false">MAX(H637,0)-I637</f>
        <v>80945</v>
      </c>
      <c r="K637" s="11" t="n">
        <f aca="false">MIN(IF(A637&gt;0,Calculator!$B$13,0)+E637+Calculator!$B$14,'Tax Tables'!$B$36)</f>
        <v>1000</v>
      </c>
      <c r="L637" s="11" t="n">
        <f aca="false">MAX(A637-K637,0)</f>
        <v>311000</v>
      </c>
      <c r="M637" s="11" t="n">
        <f aca="false">SUMPRODUCT((L637&gt;'Tax Tables'!$A$5:$A$17)*(L637-'Tax Tables'!$A$5:$A$17)*'Tax Tables'!$C$5:$C$17)</f>
        <v>42750</v>
      </c>
      <c r="N637" s="11" t="n">
        <f aca="false">IF(H637&lt;0,-1E+099,A637-E637-M637+J637+(E637+F637)*Calculator!$B$9)</f>
        <v>350195</v>
      </c>
      <c r="O637" s="2"/>
      <c r="P637" s="11" t="n">
        <f aca="false">624*$B$3</f>
        <v>312000</v>
      </c>
      <c r="Q637" s="11" t="n">
        <f aca="false">MIN(P637,'Tax Tables'!$B$31*'Tax Tables'!$B$32)</f>
        <v>96000</v>
      </c>
      <c r="R637" s="11" t="n">
        <f aca="false">P637-Q637</f>
        <v>216000</v>
      </c>
      <c r="S637" s="11" t="n">
        <f aca="false">IF(Calculator!$B$6="Yes",MIN(Q637,'Tax Tables'!$B$31*'Tax Tables'!$B$32),0)</f>
        <v>96000</v>
      </c>
      <c r="T637" s="11" t="n">
        <f aca="false">S637*Calculator!$B$7</f>
        <v>19200</v>
      </c>
      <c r="U637" s="11" t="n">
        <f aca="false">S637*Calculator!$B$8</f>
        <v>16320</v>
      </c>
      <c r="V637" s="11" t="n">
        <f aca="false">IF(Q637&gt;0,'Tax Tables'!$B$32*MIN(MAX(Q637/'Tax Tables'!$B$32*'Tax Tables'!$B$33,'Tax Tables'!$B$34),'Tax Tables'!$B$35),0)</f>
        <v>135</v>
      </c>
      <c r="W637" s="11" t="n">
        <f aca="false">Calculator!$B$5-P637-U637-V637</f>
        <v>71545</v>
      </c>
      <c r="X637" s="11" t="n">
        <f aca="false">'Tax Tables'!$B$22*(MAX(W637,0)-IF(Calculator!$B$10="Yes",MIN(MAX(W637,0),'Tax Tables'!$B$27)*'Tax Tables'!$B$28+MIN(MAX(MAX(W637,0)-'Tax Tables'!$B$27,0),'Tax Tables'!$B$29)*'Tax Tables'!$B$30,MIN(MAX(W637,0),'Tax Tables'!$B$23)*'Tax Tables'!$B$24+MIN(MAX(MAX(W637,0)-'Tax Tables'!$B$23,0),'Tax Tables'!$B$25)*'Tax Tables'!$B$26))*1-MIN('Tax Tables'!$B$22*(MAX(W637,0)-IF(Calculator!$B$10="Yes",MIN(MAX(W637,0),'Tax Tables'!$B$27)*'Tax Tables'!$B$28+MIN(MAX(MAX(W637,0)-'Tax Tables'!$B$27,0),'Tax Tables'!$B$29)*'Tax Tables'!$B$30,MIN(MAX(W637,0),'Tax Tables'!$B$23)*'Tax Tables'!$B$24+MIN(MAX(MAX(W637,0)-'Tax Tables'!$B$23,0),'Tax Tables'!$B$25)*'Tax Tables'!$B$26))*Calculator!$B$11,Calculator!$B$12)</f>
        <v>5656.325</v>
      </c>
      <c r="Y637" s="11" t="n">
        <f aca="false">MAX(W637,0)-X637</f>
        <v>65888.675</v>
      </c>
      <c r="Z637" s="11" t="n">
        <f aca="false">MIN(IF(P637&gt;0,Calculator!$B$13,0)+T637+Calculator!$B$14,'Tax Tables'!$B$36)</f>
        <v>20200</v>
      </c>
      <c r="AA637" s="11" t="n">
        <f aca="false">MAX(P637-Z637,0)</f>
        <v>291800</v>
      </c>
      <c r="AB637" s="11" t="n">
        <f aca="false">SUMPRODUCT((AA637&gt;'Tax Tables'!$A$5:$A$17)*(AA637-'Tax Tables'!$A$5:$A$17)*'Tax Tables'!$C$5:$C$17)</f>
        <v>38910</v>
      </c>
      <c r="AC637" s="11" t="n">
        <f aca="false">IF(W637&lt;0,-1E+099,P637-T637-AB637+Y637+(T637+U637)*Calculator!$B$9)</f>
        <v>355298.675</v>
      </c>
    </row>
    <row r="638" customFormat="false" ht="15" hidden="false" customHeight="false" outlineLevel="0" collapsed="false">
      <c r="A638" s="11" t="n">
        <f aca="false">625*$B$3</f>
        <v>312500</v>
      </c>
      <c r="B638" s="11" t="n">
        <f aca="false">0</f>
        <v>0</v>
      </c>
      <c r="C638" s="11" t="n">
        <f aca="false">A638-B638</f>
        <v>312500</v>
      </c>
      <c r="D638" s="11" t="n">
        <f aca="false">IF(Calculator!$B$6="Yes",MIN(B638,'Tax Tables'!$B$31*'Tax Tables'!$B$32),0)</f>
        <v>0</v>
      </c>
      <c r="E638" s="11" t="n">
        <f aca="false">D638*Calculator!$B$7</f>
        <v>0</v>
      </c>
      <c r="F638" s="11" t="n">
        <f aca="false">D638*Calculator!$B$8</f>
        <v>0</v>
      </c>
      <c r="G638" s="11" t="n">
        <f aca="false">IF(B638&gt;0,'Tax Tables'!$B$32*MIN(MAX(B638/'Tax Tables'!$B$32*'Tax Tables'!$B$33,'Tax Tables'!$B$34),'Tax Tables'!$B$35),0)</f>
        <v>0</v>
      </c>
      <c r="H638" s="11" t="n">
        <f aca="false">Calculator!$B$5-A638-F638-G638</f>
        <v>87500</v>
      </c>
      <c r="I638" s="11" t="n">
        <f aca="false">'Tax Tables'!$B$22*(MAX(H638,0)-IF(Calculator!$B$10="Yes",MIN(MAX(H638,0),'Tax Tables'!$B$27)*'Tax Tables'!$B$28+MIN(MAX(MAX(H638,0)-'Tax Tables'!$B$27,0),'Tax Tables'!$B$29)*'Tax Tables'!$B$30,MIN(MAX(H638,0),'Tax Tables'!$B$23)*'Tax Tables'!$B$24+MIN(MAX(MAX(H638,0)-'Tax Tables'!$B$23,0),'Tax Tables'!$B$25)*'Tax Tables'!$B$26))*1-MIN('Tax Tables'!$B$22*(MAX(H638,0)-IF(Calculator!$B$10="Yes",MIN(MAX(H638,0),'Tax Tables'!$B$27)*'Tax Tables'!$B$28+MIN(MAX(MAX(H638,0)-'Tax Tables'!$B$27,0),'Tax Tables'!$B$29)*'Tax Tables'!$B$30,MIN(MAX(H638,0),'Tax Tables'!$B$23)*'Tax Tables'!$B$24+MIN(MAX(MAX(H638,0)-'Tax Tables'!$B$23,0),'Tax Tables'!$B$25)*'Tax Tables'!$B$26))*Calculator!$B$11,Calculator!$B$12)</f>
        <v>7012.5</v>
      </c>
      <c r="J638" s="11" t="n">
        <f aca="false">MAX(H638,0)-I638</f>
        <v>80487.5</v>
      </c>
      <c r="K638" s="11" t="n">
        <f aca="false">MIN(IF(A638&gt;0,Calculator!$B$13,0)+E638+Calculator!$B$14,'Tax Tables'!$B$36)</f>
        <v>1000</v>
      </c>
      <c r="L638" s="11" t="n">
        <f aca="false">MAX(A638-K638,0)</f>
        <v>311500</v>
      </c>
      <c r="M638" s="11" t="n">
        <f aca="false">SUMPRODUCT((L638&gt;'Tax Tables'!$A$5:$A$17)*(L638-'Tax Tables'!$A$5:$A$17)*'Tax Tables'!$C$5:$C$17)</f>
        <v>42850</v>
      </c>
      <c r="N638" s="11" t="n">
        <f aca="false">IF(H638&lt;0,-1E+099,A638-E638-M638+J638+(E638+F638)*Calculator!$B$9)</f>
        <v>350137.5</v>
      </c>
      <c r="O638" s="2"/>
      <c r="P638" s="11" t="n">
        <f aca="false">625*$B$3</f>
        <v>312500</v>
      </c>
      <c r="Q638" s="11" t="n">
        <f aca="false">MIN(P638,'Tax Tables'!$B$31*'Tax Tables'!$B$32)</f>
        <v>96000</v>
      </c>
      <c r="R638" s="11" t="n">
        <f aca="false">P638-Q638</f>
        <v>216500</v>
      </c>
      <c r="S638" s="11" t="n">
        <f aca="false">IF(Calculator!$B$6="Yes",MIN(Q638,'Tax Tables'!$B$31*'Tax Tables'!$B$32),0)</f>
        <v>96000</v>
      </c>
      <c r="T638" s="11" t="n">
        <f aca="false">S638*Calculator!$B$7</f>
        <v>19200</v>
      </c>
      <c r="U638" s="11" t="n">
        <f aca="false">S638*Calculator!$B$8</f>
        <v>16320</v>
      </c>
      <c r="V638" s="11" t="n">
        <f aca="false">IF(Q638&gt;0,'Tax Tables'!$B$32*MIN(MAX(Q638/'Tax Tables'!$B$32*'Tax Tables'!$B$33,'Tax Tables'!$B$34),'Tax Tables'!$B$35),0)</f>
        <v>135</v>
      </c>
      <c r="W638" s="11" t="n">
        <f aca="false">Calculator!$B$5-P638-U638-V638</f>
        <v>71045</v>
      </c>
      <c r="X638" s="11" t="n">
        <f aca="false">'Tax Tables'!$B$22*(MAX(W638,0)-IF(Calculator!$B$10="Yes",MIN(MAX(W638,0),'Tax Tables'!$B$27)*'Tax Tables'!$B$28+MIN(MAX(MAX(W638,0)-'Tax Tables'!$B$27,0),'Tax Tables'!$B$29)*'Tax Tables'!$B$30,MIN(MAX(W638,0),'Tax Tables'!$B$23)*'Tax Tables'!$B$24+MIN(MAX(MAX(W638,0)-'Tax Tables'!$B$23,0),'Tax Tables'!$B$25)*'Tax Tables'!$B$26))*1-MIN('Tax Tables'!$B$22*(MAX(W638,0)-IF(Calculator!$B$10="Yes",MIN(MAX(W638,0),'Tax Tables'!$B$27)*'Tax Tables'!$B$28+MIN(MAX(MAX(W638,0)-'Tax Tables'!$B$27,0),'Tax Tables'!$B$29)*'Tax Tables'!$B$30,MIN(MAX(W638,0),'Tax Tables'!$B$23)*'Tax Tables'!$B$24+MIN(MAX(MAX(W638,0)-'Tax Tables'!$B$23,0),'Tax Tables'!$B$25)*'Tax Tables'!$B$26))*Calculator!$B$11,Calculator!$B$12)</f>
        <v>5613.825</v>
      </c>
      <c r="Y638" s="11" t="n">
        <f aca="false">MAX(W638,0)-X638</f>
        <v>65431.175</v>
      </c>
      <c r="Z638" s="11" t="n">
        <f aca="false">MIN(IF(P638&gt;0,Calculator!$B$13,0)+T638+Calculator!$B$14,'Tax Tables'!$B$36)</f>
        <v>20200</v>
      </c>
      <c r="AA638" s="11" t="n">
        <f aca="false">MAX(P638-Z638,0)</f>
        <v>292300</v>
      </c>
      <c r="AB638" s="11" t="n">
        <f aca="false">SUMPRODUCT((AA638&gt;'Tax Tables'!$A$5:$A$17)*(AA638-'Tax Tables'!$A$5:$A$17)*'Tax Tables'!$C$5:$C$17)</f>
        <v>39010</v>
      </c>
      <c r="AC638" s="11" t="n">
        <f aca="false">IF(W638&lt;0,-1E+099,P638-T638-AB638+Y638+(T638+U638)*Calculator!$B$9)</f>
        <v>355241.175</v>
      </c>
    </row>
    <row r="639" customFormat="false" ht="15" hidden="false" customHeight="false" outlineLevel="0" collapsed="false">
      <c r="A639" s="11" t="n">
        <f aca="false">626*$B$3</f>
        <v>313000</v>
      </c>
      <c r="B639" s="11" t="n">
        <f aca="false">0</f>
        <v>0</v>
      </c>
      <c r="C639" s="11" t="n">
        <f aca="false">A639-B639</f>
        <v>313000</v>
      </c>
      <c r="D639" s="11" t="n">
        <f aca="false">IF(Calculator!$B$6="Yes",MIN(B639,'Tax Tables'!$B$31*'Tax Tables'!$B$32),0)</f>
        <v>0</v>
      </c>
      <c r="E639" s="11" t="n">
        <f aca="false">D639*Calculator!$B$7</f>
        <v>0</v>
      </c>
      <c r="F639" s="11" t="n">
        <f aca="false">D639*Calculator!$B$8</f>
        <v>0</v>
      </c>
      <c r="G639" s="11" t="n">
        <f aca="false">IF(B639&gt;0,'Tax Tables'!$B$32*MIN(MAX(B639/'Tax Tables'!$B$32*'Tax Tables'!$B$33,'Tax Tables'!$B$34),'Tax Tables'!$B$35),0)</f>
        <v>0</v>
      </c>
      <c r="H639" s="11" t="n">
        <f aca="false">Calculator!$B$5-A639-F639-G639</f>
        <v>87000</v>
      </c>
      <c r="I639" s="11" t="n">
        <f aca="false">'Tax Tables'!$B$22*(MAX(H639,0)-IF(Calculator!$B$10="Yes",MIN(MAX(H639,0),'Tax Tables'!$B$27)*'Tax Tables'!$B$28+MIN(MAX(MAX(H639,0)-'Tax Tables'!$B$27,0),'Tax Tables'!$B$29)*'Tax Tables'!$B$30,MIN(MAX(H639,0),'Tax Tables'!$B$23)*'Tax Tables'!$B$24+MIN(MAX(MAX(H639,0)-'Tax Tables'!$B$23,0),'Tax Tables'!$B$25)*'Tax Tables'!$B$26))*1-MIN('Tax Tables'!$B$22*(MAX(H639,0)-IF(Calculator!$B$10="Yes",MIN(MAX(H639,0),'Tax Tables'!$B$27)*'Tax Tables'!$B$28+MIN(MAX(MAX(H639,0)-'Tax Tables'!$B$27,0),'Tax Tables'!$B$29)*'Tax Tables'!$B$30,MIN(MAX(H639,0),'Tax Tables'!$B$23)*'Tax Tables'!$B$24+MIN(MAX(MAX(H639,0)-'Tax Tables'!$B$23,0),'Tax Tables'!$B$25)*'Tax Tables'!$B$26))*Calculator!$B$11,Calculator!$B$12)</f>
        <v>6970</v>
      </c>
      <c r="J639" s="11" t="n">
        <f aca="false">MAX(H639,0)-I639</f>
        <v>80030</v>
      </c>
      <c r="K639" s="11" t="n">
        <f aca="false">MIN(IF(A639&gt;0,Calculator!$B$13,0)+E639+Calculator!$B$14,'Tax Tables'!$B$36)</f>
        <v>1000</v>
      </c>
      <c r="L639" s="11" t="n">
        <f aca="false">MAX(A639-K639,0)</f>
        <v>312000</v>
      </c>
      <c r="M639" s="11" t="n">
        <f aca="false">SUMPRODUCT((L639&gt;'Tax Tables'!$A$5:$A$17)*(L639-'Tax Tables'!$A$5:$A$17)*'Tax Tables'!$C$5:$C$17)</f>
        <v>42950</v>
      </c>
      <c r="N639" s="11" t="n">
        <f aca="false">IF(H639&lt;0,-1E+099,A639-E639-M639+J639+(E639+F639)*Calculator!$B$9)</f>
        <v>350080</v>
      </c>
      <c r="O639" s="2"/>
      <c r="P639" s="11" t="n">
        <f aca="false">626*$B$3</f>
        <v>313000</v>
      </c>
      <c r="Q639" s="11" t="n">
        <f aca="false">MIN(P639,'Tax Tables'!$B$31*'Tax Tables'!$B$32)</f>
        <v>96000</v>
      </c>
      <c r="R639" s="11" t="n">
        <f aca="false">P639-Q639</f>
        <v>217000</v>
      </c>
      <c r="S639" s="11" t="n">
        <f aca="false">IF(Calculator!$B$6="Yes",MIN(Q639,'Tax Tables'!$B$31*'Tax Tables'!$B$32),0)</f>
        <v>96000</v>
      </c>
      <c r="T639" s="11" t="n">
        <f aca="false">S639*Calculator!$B$7</f>
        <v>19200</v>
      </c>
      <c r="U639" s="11" t="n">
        <f aca="false">S639*Calculator!$B$8</f>
        <v>16320</v>
      </c>
      <c r="V639" s="11" t="n">
        <f aca="false">IF(Q639&gt;0,'Tax Tables'!$B$32*MIN(MAX(Q639/'Tax Tables'!$B$32*'Tax Tables'!$B$33,'Tax Tables'!$B$34),'Tax Tables'!$B$35),0)</f>
        <v>135</v>
      </c>
      <c r="W639" s="11" t="n">
        <f aca="false">Calculator!$B$5-P639-U639-V639</f>
        <v>70545</v>
      </c>
      <c r="X639" s="11" t="n">
        <f aca="false">'Tax Tables'!$B$22*(MAX(W639,0)-IF(Calculator!$B$10="Yes",MIN(MAX(W639,0),'Tax Tables'!$B$27)*'Tax Tables'!$B$28+MIN(MAX(MAX(W639,0)-'Tax Tables'!$B$27,0),'Tax Tables'!$B$29)*'Tax Tables'!$B$30,MIN(MAX(W639,0),'Tax Tables'!$B$23)*'Tax Tables'!$B$24+MIN(MAX(MAX(W639,0)-'Tax Tables'!$B$23,0),'Tax Tables'!$B$25)*'Tax Tables'!$B$26))*1-MIN('Tax Tables'!$B$22*(MAX(W639,0)-IF(Calculator!$B$10="Yes",MIN(MAX(W639,0),'Tax Tables'!$B$27)*'Tax Tables'!$B$28+MIN(MAX(MAX(W639,0)-'Tax Tables'!$B$27,0),'Tax Tables'!$B$29)*'Tax Tables'!$B$30,MIN(MAX(W639,0),'Tax Tables'!$B$23)*'Tax Tables'!$B$24+MIN(MAX(MAX(W639,0)-'Tax Tables'!$B$23,0),'Tax Tables'!$B$25)*'Tax Tables'!$B$26))*Calculator!$B$11,Calculator!$B$12)</f>
        <v>5571.325</v>
      </c>
      <c r="Y639" s="11" t="n">
        <f aca="false">MAX(W639,0)-X639</f>
        <v>64973.675</v>
      </c>
      <c r="Z639" s="11" t="n">
        <f aca="false">MIN(IF(P639&gt;0,Calculator!$B$13,0)+T639+Calculator!$B$14,'Tax Tables'!$B$36)</f>
        <v>20200</v>
      </c>
      <c r="AA639" s="11" t="n">
        <f aca="false">MAX(P639-Z639,0)</f>
        <v>292800</v>
      </c>
      <c r="AB639" s="11" t="n">
        <f aca="false">SUMPRODUCT((AA639&gt;'Tax Tables'!$A$5:$A$17)*(AA639-'Tax Tables'!$A$5:$A$17)*'Tax Tables'!$C$5:$C$17)</f>
        <v>39110</v>
      </c>
      <c r="AC639" s="11" t="n">
        <f aca="false">IF(W639&lt;0,-1E+099,P639-T639-AB639+Y639+(T639+U639)*Calculator!$B$9)</f>
        <v>355183.675</v>
      </c>
    </row>
    <row r="640" customFormat="false" ht="15" hidden="false" customHeight="false" outlineLevel="0" collapsed="false">
      <c r="A640" s="11" t="n">
        <f aca="false">627*$B$3</f>
        <v>313500</v>
      </c>
      <c r="B640" s="11" t="n">
        <f aca="false">0</f>
        <v>0</v>
      </c>
      <c r="C640" s="11" t="n">
        <f aca="false">A640-B640</f>
        <v>313500</v>
      </c>
      <c r="D640" s="11" t="n">
        <f aca="false">IF(Calculator!$B$6="Yes",MIN(B640,'Tax Tables'!$B$31*'Tax Tables'!$B$32),0)</f>
        <v>0</v>
      </c>
      <c r="E640" s="11" t="n">
        <f aca="false">D640*Calculator!$B$7</f>
        <v>0</v>
      </c>
      <c r="F640" s="11" t="n">
        <f aca="false">D640*Calculator!$B$8</f>
        <v>0</v>
      </c>
      <c r="G640" s="11" t="n">
        <f aca="false">IF(B640&gt;0,'Tax Tables'!$B$32*MIN(MAX(B640/'Tax Tables'!$B$32*'Tax Tables'!$B$33,'Tax Tables'!$B$34),'Tax Tables'!$B$35),0)</f>
        <v>0</v>
      </c>
      <c r="H640" s="11" t="n">
        <f aca="false">Calculator!$B$5-A640-F640-G640</f>
        <v>86500</v>
      </c>
      <c r="I640" s="11" t="n">
        <f aca="false">'Tax Tables'!$B$22*(MAX(H640,0)-IF(Calculator!$B$10="Yes",MIN(MAX(H640,0),'Tax Tables'!$B$27)*'Tax Tables'!$B$28+MIN(MAX(MAX(H640,0)-'Tax Tables'!$B$27,0),'Tax Tables'!$B$29)*'Tax Tables'!$B$30,MIN(MAX(H640,0),'Tax Tables'!$B$23)*'Tax Tables'!$B$24+MIN(MAX(MAX(H640,0)-'Tax Tables'!$B$23,0),'Tax Tables'!$B$25)*'Tax Tables'!$B$26))*1-MIN('Tax Tables'!$B$22*(MAX(H640,0)-IF(Calculator!$B$10="Yes",MIN(MAX(H640,0),'Tax Tables'!$B$27)*'Tax Tables'!$B$28+MIN(MAX(MAX(H640,0)-'Tax Tables'!$B$27,0),'Tax Tables'!$B$29)*'Tax Tables'!$B$30,MIN(MAX(H640,0),'Tax Tables'!$B$23)*'Tax Tables'!$B$24+MIN(MAX(MAX(H640,0)-'Tax Tables'!$B$23,0),'Tax Tables'!$B$25)*'Tax Tables'!$B$26))*Calculator!$B$11,Calculator!$B$12)</f>
        <v>6927.5</v>
      </c>
      <c r="J640" s="11" t="n">
        <f aca="false">MAX(H640,0)-I640</f>
        <v>79572.5</v>
      </c>
      <c r="K640" s="11" t="n">
        <f aca="false">MIN(IF(A640&gt;0,Calculator!$B$13,0)+E640+Calculator!$B$14,'Tax Tables'!$B$36)</f>
        <v>1000</v>
      </c>
      <c r="L640" s="11" t="n">
        <f aca="false">MAX(A640-K640,0)</f>
        <v>312500</v>
      </c>
      <c r="M640" s="11" t="n">
        <f aca="false">SUMPRODUCT((L640&gt;'Tax Tables'!$A$5:$A$17)*(L640-'Tax Tables'!$A$5:$A$17)*'Tax Tables'!$C$5:$C$17)</f>
        <v>43050</v>
      </c>
      <c r="N640" s="11" t="n">
        <f aca="false">IF(H640&lt;0,-1E+099,A640-E640-M640+J640+(E640+F640)*Calculator!$B$9)</f>
        <v>350022.5</v>
      </c>
      <c r="O640" s="2"/>
      <c r="P640" s="11" t="n">
        <f aca="false">627*$B$3</f>
        <v>313500</v>
      </c>
      <c r="Q640" s="11" t="n">
        <f aca="false">MIN(P640,'Tax Tables'!$B$31*'Tax Tables'!$B$32)</f>
        <v>96000</v>
      </c>
      <c r="R640" s="11" t="n">
        <f aca="false">P640-Q640</f>
        <v>217500</v>
      </c>
      <c r="S640" s="11" t="n">
        <f aca="false">IF(Calculator!$B$6="Yes",MIN(Q640,'Tax Tables'!$B$31*'Tax Tables'!$B$32),0)</f>
        <v>96000</v>
      </c>
      <c r="T640" s="11" t="n">
        <f aca="false">S640*Calculator!$B$7</f>
        <v>19200</v>
      </c>
      <c r="U640" s="11" t="n">
        <f aca="false">S640*Calculator!$B$8</f>
        <v>16320</v>
      </c>
      <c r="V640" s="11" t="n">
        <f aca="false">IF(Q640&gt;0,'Tax Tables'!$B$32*MIN(MAX(Q640/'Tax Tables'!$B$32*'Tax Tables'!$B$33,'Tax Tables'!$B$34),'Tax Tables'!$B$35),0)</f>
        <v>135</v>
      </c>
      <c r="W640" s="11" t="n">
        <f aca="false">Calculator!$B$5-P640-U640-V640</f>
        <v>70045</v>
      </c>
      <c r="X640" s="11" t="n">
        <f aca="false">'Tax Tables'!$B$22*(MAX(W640,0)-IF(Calculator!$B$10="Yes",MIN(MAX(W640,0),'Tax Tables'!$B$27)*'Tax Tables'!$B$28+MIN(MAX(MAX(W640,0)-'Tax Tables'!$B$27,0),'Tax Tables'!$B$29)*'Tax Tables'!$B$30,MIN(MAX(W640,0),'Tax Tables'!$B$23)*'Tax Tables'!$B$24+MIN(MAX(MAX(W640,0)-'Tax Tables'!$B$23,0),'Tax Tables'!$B$25)*'Tax Tables'!$B$26))*1-MIN('Tax Tables'!$B$22*(MAX(W640,0)-IF(Calculator!$B$10="Yes",MIN(MAX(W640,0),'Tax Tables'!$B$27)*'Tax Tables'!$B$28+MIN(MAX(MAX(W640,0)-'Tax Tables'!$B$27,0),'Tax Tables'!$B$29)*'Tax Tables'!$B$30,MIN(MAX(W640,0),'Tax Tables'!$B$23)*'Tax Tables'!$B$24+MIN(MAX(MAX(W640,0)-'Tax Tables'!$B$23,0),'Tax Tables'!$B$25)*'Tax Tables'!$B$26))*Calculator!$B$11,Calculator!$B$12)</f>
        <v>5528.825</v>
      </c>
      <c r="Y640" s="11" t="n">
        <f aca="false">MAX(W640,0)-X640</f>
        <v>64516.175</v>
      </c>
      <c r="Z640" s="11" t="n">
        <f aca="false">MIN(IF(P640&gt;0,Calculator!$B$13,0)+T640+Calculator!$B$14,'Tax Tables'!$B$36)</f>
        <v>20200</v>
      </c>
      <c r="AA640" s="11" t="n">
        <f aca="false">MAX(P640-Z640,0)</f>
        <v>293300</v>
      </c>
      <c r="AB640" s="11" t="n">
        <f aca="false">SUMPRODUCT((AA640&gt;'Tax Tables'!$A$5:$A$17)*(AA640-'Tax Tables'!$A$5:$A$17)*'Tax Tables'!$C$5:$C$17)</f>
        <v>39210</v>
      </c>
      <c r="AC640" s="11" t="n">
        <f aca="false">IF(W640&lt;0,-1E+099,P640-T640-AB640+Y640+(T640+U640)*Calculator!$B$9)</f>
        <v>355126.175</v>
      </c>
    </row>
    <row r="641" customFormat="false" ht="15" hidden="false" customHeight="false" outlineLevel="0" collapsed="false">
      <c r="A641" s="11" t="n">
        <f aca="false">628*$B$3</f>
        <v>314000</v>
      </c>
      <c r="B641" s="11" t="n">
        <f aca="false">0</f>
        <v>0</v>
      </c>
      <c r="C641" s="11" t="n">
        <f aca="false">A641-B641</f>
        <v>314000</v>
      </c>
      <c r="D641" s="11" t="n">
        <f aca="false">IF(Calculator!$B$6="Yes",MIN(B641,'Tax Tables'!$B$31*'Tax Tables'!$B$32),0)</f>
        <v>0</v>
      </c>
      <c r="E641" s="11" t="n">
        <f aca="false">D641*Calculator!$B$7</f>
        <v>0</v>
      </c>
      <c r="F641" s="11" t="n">
        <f aca="false">D641*Calculator!$B$8</f>
        <v>0</v>
      </c>
      <c r="G641" s="11" t="n">
        <f aca="false">IF(B641&gt;0,'Tax Tables'!$B$32*MIN(MAX(B641/'Tax Tables'!$B$32*'Tax Tables'!$B$33,'Tax Tables'!$B$34),'Tax Tables'!$B$35),0)</f>
        <v>0</v>
      </c>
      <c r="H641" s="11" t="n">
        <f aca="false">Calculator!$B$5-A641-F641-G641</f>
        <v>86000</v>
      </c>
      <c r="I641" s="11" t="n">
        <f aca="false">'Tax Tables'!$B$22*(MAX(H641,0)-IF(Calculator!$B$10="Yes",MIN(MAX(H641,0),'Tax Tables'!$B$27)*'Tax Tables'!$B$28+MIN(MAX(MAX(H641,0)-'Tax Tables'!$B$27,0),'Tax Tables'!$B$29)*'Tax Tables'!$B$30,MIN(MAX(H641,0),'Tax Tables'!$B$23)*'Tax Tables'!$B$24+MIN(MAX(MAX(H641,0)-'Tax Tables'!$B$23,0),'Tax Tables'!$B$25)*'Tax Tables'!$B$26))*1-MIN('Tax Tables'!$B$22*(MAX(H641,0)-IF(Calculator!$B$10="Yes",MIN(MAX(H641,0),'Tax Tables'!$B$27)*'Tax Tables'!$B$28+MIN(MAX(MAX(H641,0)-'Tax Tables'!$B$27,0),'Tax Tables'!$B$29)*'Tax Tables'!$B$30,MIN(MAX(H641,0),'Tax Tables'!$B$23)*'Tax Tables'!$B$24+MIN(MAX(MAX(H641,0)-'Tax Tables'!$B$23,0),'Tax Tables'!$B$25)*'Tax Tables'!$B$26))*Calculator!$B$11,Calculator!$B$12)</f>
        <v>6885</v>
      </c>
      <c r="J641" s="11" t="n">
        <f aca="false">MAX(H641,0)-I641</f>
        <v>79115</v>
      </c>
      <c r="K641" s="11" t="n">
        <f aca="false">MIN(IF(A641&gt;0,Calculator!$B$13,0)+E641+Calculator!$B$14,'Tax Tables'!$B$36)</f>
        <v>1000</v>
      </c>
      <c r="L641" s="11" t="n">
        <f aca="false">MAX(A641-K641,0)</f>
        <v>313000</v>
      </c>
      <c r="M641" s="11" t="n">
        <f aca="false">SUMPRODUCT((L641&gt;'Tax Tables'!$A$5:$A$17)*(L641-'Tax Tables'!$A$5:$A$17)*'Tax Tables'!$C$5:$C$17)</f>
        <v>43150</v>
      </c>
      <c r="N641" s="11" t="n">
        <f aca="false">IF(H641&lt;0,-1E+099,A641-E641-M641+J641+(E641+F641)*Calculator!$B$9)</f>
        <v>349965</v>
      </c>
      <c r="O641" s="2"/>
      <c r="P641" s="11" t="n">
        <f aca="false">628*$B$3</f>
        <v>314000</v>
      </c>
      <c r="Q641" s="11" t="n">
        <f aca="false">MIN(P641,'Tax Tables'!$B$31*'Tax Tables'!$B$32)</f>
        <v>96000</v>
      </c>
      <c r="R641" s="11" t="n">
        <f aca="false">P641-Q641</f>
        <v>218000</v>
      </c>
      <c r="S641" s="11" t="n">
        <f aca="false">IF(Calculator!$B$6="Yes",MIN(Q641,'Tax Tables'!$B$31*'Tax Tables'!$B$32),0)</f>
        <v>96000</v>
      </c>
      <c r="T641" s="11" t="n">
        <f aca="false">S641*Calculator!$B$7</f>
        <v>19200</v>
      </c>
      <c r="U641" s="11" t="n">
        <f aca="false">S641*Calculator!$B$8</f>
        <v>16320</v>
      </c>
      <c r="V641" s="11" t="n">
        <f aca="false">IF(Q641&gt;0,'Tax Tables'!$B$32*MIN(MAX(Q641/'Tax Tables'!$B$32*'Tax Tables'!$B$33,'Tax Tables'!$B$34),'Tax Tables'!$B$35),0)</f>
        <v>135</v>
      </c>
      <c r="W641" s="11" t="n">
        <f aca="false">Calculator!$B$5-P641-U641-V641</f>
        <v>69545</v>
      </c>
      <c r="X641" s="11" t="n">
        <f aca="false">'Tax Tables'!$B$22*(MAX(W641,0)-IF(Calculator!$B$10="Yes",MIN(MAX(W641,0),'Tax Tables'!$B$27)*'Tax Tables'!$B$28+MIN(MAX(MAX(W641,0)-'Tax Tables'!$B$27,0),'Tax Tables'!$B$29)*'Tax Tables'!$B$30,MIN(MAX(W641,0),'Tax Tables'!$B$23)*'Tax Tables'!$B$24+MIN(MAX(MAX(W641,0)-'Tax Tables'!$B$23,0),'Tax Tables'!$B$25)*'Tax Tables'!$B$26))*1-MIN('Tax Tables'!$B$22*(MAX(W641,0)-IF(Calculator!$B$10="Yes",MIN(MAX(W641,0),'Tax Tables'!$B$27)*'Tax Tables'!$B$28+MIN(MAX(MAX(W641,0)-'Tax Tables'!$B$27,0),'Tax Tables'!$B$29)*'Tax Tables'!$B$30,MIN(MAX(W641,0),'Tax Tables'!$B$23)*'Tax Tables'!$B$24+MIN(MAX(MAX(W641,0)-'Tax Tables'!$B$23,0),'Tax Tables'!$B$25)*'Tax Tables'!$B$26))*Calculator!$B$11,Calculator!$B$12)</f>
        <v>5486.325</v>
      </c>
      <c r="Y641" s="11" t="n">
        <f aca="false">MAX(W641,0)-X641</f>
        <v>64058.675</v>
      </c>
      <c r="Z641" s="11" t="n">
        <f aca="false">MIN(IF(P641&gt;0,Calculator!$B$13,0)+T641+Calculator!$B$14,'Tax Tables'!$B$36)</f>
        <v>20200</v>
      </c>
      <c r="AA641" s="11" t="n">
        <f aca="false">MAX(P641-Z641,0)</f>
        <v>293800</v>
      </c>
      <c r="AB641" s="11" t="n">
        <f aca="false">SUMPRODUCT((AA641&gt;'Tax Tables'!$A$5:$A$17)*(AA641-'Tax Tables'!$A$5:$A$17)*'Tax Tables'!$C$5:$C$17)</f>
        <v>39310</v>
      </c>
      <c r="AC641" s="11" t="n">
        <f aca="false">IF(W641&lt;0,-1E+099,P641-T641-AB641+Y641+(T641+U641)*Calculator!$B$9)</f>
        <v>355068.675</v>
      </c>
    </row>
    <row r="642" customFormat="false" ht="15" hidden="false" customHeight="false" outlineLevel="0" collapsed="false">
      <c r="A642" s="11" t="n">
        <f aca="false">629*$B$3</f>
        <v>314500</v>
      </c>
      <c r="B642" s="11" t="n">
        <f aca="false">0</f>
        <v>0</v>
      </c>
      <c r="C642" s="11" t="n">
        <f aca="false">A642-B642</f>
        <v>314500</v>
      </c>
      <c r="D642" s="11" t="n">
        <f aca="false">IF(Calculator!$B$6="Yes",MIN(B642,'Tax Tables'!$B$31*'Tax Tables'!$B$32),0)</f>
        <v>0</v>
      </c>
      <c r="E642" s="11" t="n">
        <f aca="false">D642*Calculator!$B$7</f>
        <v>0</v>
      </c>
      <c r="F642" s="11" t="n">
        <f aca="false">D642*Calculator!$B$8</f>
        <v>0</v>
      </c>
      <c r="G642" s="11" t="n">
        <f aca="false">IF(B642&gt;0,'Tax Tables'!$B$32*MIN(MAX(B642/'Tax Tables'!$B$32*'Tax Tables'!$B$33,'Tax Tables'!$B$34),'Tax Tables'!$B$35),0)</f>
        <v>0</v>
      </c>
      <c r="H642" s="11" t="n">
        <f aca="false">Calculator!$B$5-A642-F642-G642</f>
        <v>85500</v>
      </c>
      <c r="I642" s="11" t="n">
        <f aca="false">'Tax Tables'!$B$22*(MAX(H642,0)-IF(Calculator!$B$10="Yes",MIN(MAX(H642,0),'Tax Tables'!$B$27)*'Tax Tables'!$B$28+MIN(MAX(MAX(H642,0)-'Tax Tables'!$B$27,0),'Tax Tables'!$B$29)*'Tax Tables'!$B$30,MIN(MAX(H642,0),'Tax Tables'!$B$23)*'Tax Tables'!$B$24+MIN(MAX(MAX(H642,0)-'Tax Tables'!$B$23,0),'Tax Tables'!$B$25)*'Tax Tables'!$B$26))*1-MIN('Tax Tables'!$B$22*(MAX(H642,0)-IF(Calculator!$B$10="Yes",MIN(MAX(H642,0),'Tax Tables'!$B$27)*'Tax Tables'!$B$28+MIN(MAX(MAX(H642,0)-'Tax Tables'!$B$27,0),'Tax Tables'!$B$29)*'Tax Tables'!$B$30,MIN(MAX(H642,0),'Tax Tables'!$B$23)*'Tax Tables'!$B$24+MIN(MAX(MAX(H642,0)-'Tax Tables'!$B$23,0),'Tax Tables'!$B$25)*'Tax Tables'!$B$26))*Calculator!$B$11,Calculator!$B$12)</f>
        <v>6842.5</v>
      </c>
      <c r="J642" s="11" t="n">
        <f aca="false">MAX(H642,0)-I642</f>
        <v>78657.5</v>
      </c>
      <c r="K642" s="11" t="n">
        <f aca="false">MIN(IF(A642&gt;0,Calculator!$B$13,0)+E642+Calculator!$B$14,'Tax Tables'!$B$36)</f>
        <v>1000</v>
      </c>
      <c r="L642" s="11" t="n">
        <f aca="false">MAX(A642-K642,0)</f>
        <v>313500</v>
      </c>
      <c r="M642" s="11" t="n">
        <f aca="false">SUMPRODUCT((L642&gt;'Tax Tables'!$A$5:$A$17)*(L642-'Tax Tables'!$A$5:$A$17)*'Tax Tables'!$C$5:$C$17)</f>
        <v>43250</v>
      </c>
      <c r="N642" s="11" t="n">
        <f aca="false">IF(H642&lt;0,-1E+099,A642-E642-M642+J642+(E642+F642)*Calculator!$B$9)</f>
        <v>349907.5</v>
      </c>
      <c r="O642" s="2"/>
      <c r="P642" s="11" t="n">
        <f aca="false">629*$B$3</f>
        <v>314500</v>
      </c>
      <c r="Q642" s="11" t="n">
        <f aca="false">MIN(P642,'Tax Tables'!$B$31*'Tax Tables'!$B$32)</f>
        <v>96000</v>
      </c>
      <c r="R642" s="11" t="n">
        <f aca="false">P642-Q642</f>
        <v>218500</v>
      </c>
      <c r="S642" s="11" t="n">
        <f aca="false">IF(Calculator!$B$6="Yes",MIN(Q642,'Tax Tables'!$B$31*'Tax Tables'!$B$32),0)</f>
        <v>96000</v>
      </c>
      <c r="T642" s="11" t="n">
        <f aca="false">S642*Calculator!$B$7</f>
        <v>19200</v>
      </c>
      <c r="U642" s="11" t="n">
        <f aca="false">S642*Calculator!$B$8</f>
        <v>16320</v>
      </c>
      <c r="V642" s="11" t="n">
        <f aca="false">IF(Q642&gt;0,'Tax Tables'!$B$32*MIN(MAX(Q642/'Tax Tables'!$B$32*'Tax Tables'!$B$33,'Tax Tables'!$B$34),'Tax Tables'!$B$35),0)</f>
        <v>135</v>
      </c>
      <c r="W642" s="11" t="n">
        <f aca="false">Calculator!$B$5-P642-U642-V642</f>
        <v>69045</v>
      </c>
      <c r="X642" s="11" t="n">
        <f aca="false">'Tax Tables'!$B$22*(MAX(W642,0)-IF(Calculator!$B$10="Yes",MIN(MAX(W642,0),'Tax Tables'!$B$27)*'Tax Tables'!$B$28+MIN(MAX(MAX(W642,0)-'Tax Tables'!$B$27,0),'Tax Tables'!$B$29)*'Tax Tables'!$B$30,MIN(MAX(W642,0),'Tax Tables'!$B$23)*'Tax Tables'!$B$24+MIN(MAX(MAX(W642,0)-'Tax Tables'!$B$23,0),'Tax Tables'!$B$25)*'Tax Tables'!$B$26))*1-MIN('Tax Tables'!$B$22*(MAX(W642,0)-IF(Calculator!$B$10="Yes",MIN(MAX(W642,0),'Tax Tables'!$B$27)*'Tax Tables'!$B$28+MIN(MAX(MAX(W642,0)-'Tax Tables'!$B$27,0),'Tax Tables'!$B$29)*'Tax Tables'!$B$30,MIN(MAX(W642,0),'Tax Tables'!$B$23)*'Tax Tables'!$B$24+MIN(MAX(MAX(W642,0)-'Tax Tables'!$B$23,0),'Tax Tables'!$B$25)*'Tax Tables'!$B$26))*Calculator!$B$11,Calculator!$B$12)</f>
        <v>5443.825</v>
      </c>
      <c r="Y642" s="11" t="n">
        <f aca="false">MAX(W642,0)-X642</f>
        <v>63601.175</v>
      </c>
      <c r="Z642" s="11" t="n">
        <f aca="false">MIN(IF(P642&gt;0,Calculator!$B$13,0)+T642+Calculator!$B$14,'Tax Tables'!$B$36)</f>
        <v>20200</v>
      </c>
      <c r="AA642" s="11" t="n">
        <f aca="false">MAX(P642-Z642,0)</f>
        <v>294300</v>
      </c>
      <c r="AB642" s="11" t="n">
        <f aca="false">SUMPRODUCT((AA642&gt;'Tax Tables'!$A$5:$A$17)*(AA642-'Tax Tables'!$A$5:$A$17)*'Tax Tables'!$C$5:$C$17)</f>
        <v>39410</v>
      </c>
      <c r="AC642" s="11" t="n">
        <f aca="false">IF(W642&lt;0,-1E+099,P642-T642-AB642+Y642+(T642+U642)*Calculator!$B$9)</f>
        <v>355011.175</v>
      </c>
    </row>
    <row r="643" customFormat="false" ht="15" hidden="false" customHeight="false" outlineLevel="0" collapsed="false">
      <c r="A643" s="11" t="n">
        <f aca="false">630*$B$3</f>
        <v>315000</v>
      </c>
      <c r="B643" s="11" t="n">
        <f aca="false">0</f>
        <v>0</v>
      </c>
      <c r="C643" s="11" t="n">
        <f aca="false">A643-B643</f>
        <v>315000</v>
      </c>
      <c r="D643" s="11" t="n">
        <f aca="false">IF(Calculator!$B$6="Yes",MIN(B643,'Tax Tables'!$B$31*'Tax Tables'!$B$32),0)</f>
        <v>0</v>
      </c>
      <c r="E643" s="11" t="n">
        <f aca="false">D643*Calculator!$B$7</f>
        <v>0</v>
      </c>
      <c r="F643" s="11" t="n">
        <f aca="false">D643*Calculator!$B$8</f>
        <v>0</v>
      </c>
      <c r="G643" s="11" t="n">
        <f aca="false">IF(B643&gt;0,'Tax Tables'!$B$32*MIN(MAX(B643/'Tax Tables'!$B$32*'Tax Tables'!$B$33,'Tax Tables'!$B$34),'Tax Tables'!$B$35),0)</f>
        <v>0</v>
      </c>
      <c r="H643" s="11" t="n">
        <f aca="false">Calculator!$B$5-A643-F643-G643</f>
        <v>85000</v>
      </c>
      <c r="I643" s="11" t="n">
        <f aca="false">'Tax Tables'!$B$22*(MAX(H643,0)-IF(Calculator!$B$10="Yes",MIN(MAX(H643,0),'Tax Tables'!$B$27)*'Tax Tables'!$B$28+MIN(MAX(MAX(H643,0)-'Tax Tables'!$B$27,0),'Tax Tables'!$B$29)*'Tax Tables'!$B$30,MIN(MAX(H643,0),'Tax Tables'!$B$23)*'Tax Tables'!$B$24+MIN(MAX(MAX(H643,0)-'Tax Tables'!$B$23,0),'Tax Tables'!$B$25)*'Tax Tables'!$B$26))*1-MIN('Tax Tables'!$B$22*(MAX(H643,0)-IF(Calculator!$B$10="Yes",MIN(MAX(H643,0),'Tax Tables'!$B$27)*'Tax Tables'!$B$28+MIN(MAX(MAX(H643,0)-'Tax Tables'!$B$27,0),'Tax Tables'!$B$29)*'Tax Tables'!$B$30,MIN(MAX(H643,0),'Tax Tables'!$B$23)*'Tax Tables'!$B$24+MIN(MAX(MAX(H643,0)-'Tax Tables'!$B$23,0),'Tax Tables'!$B$25)*'Tax Tables'!$B$26))*Calculator!$B$11,Calculator!$B$12)</f>
        <v>6800</v>
      </c>
      <c r="J643" s="11" t="n">
        <f aca="false">MAX(H643,0)-I643</f>
        <v>78200</v>
      </c>
      <c r="K643" s="11" t="n">
        <f aca="false">MIN(IF(A643&gt;0,Calculator!$B$13,0)+E643+Calculator!$B$14,'Tax Tables'!$B$36)</f>
        <v>1000</v>
      </c>
      <c r="L643" s="11" t="n">
        <f aca="false">MAX(A643-K643,0)</f>
        <v>314000</v>
      </c>
      <c r="M643" s="11" t="n">
        <f aca="false">SUMPRODUCT((L643&gt;'Tax Tables'!$A$5:$A$17)*(L643-'Tax Tables'!$A$5:$A$17)*'Tax Tables'!$C$5:$C$17)</f>
        <v>43350</v>
      </c>
      <c r="N643" s="11" t="n">
        <f aca="false">IF(H643&lt;0,-1E+099,A643-E643-M643+J643+(E643+F643)*Calculator!$B$9)</f>
        <v>349850</v>
      </c>
      <c r="O643" s="2"/>
      <c r="P643" s="11" t="n">
        <f aca="false">630*$B$3</f>
        <v>315000</v>
      </c>
      <c r="Q643" s="11" t="n">
        <f aca="false">MIN(P643,'Tax Tables'!$B$31*'Tax Tables'!$B$32)</f>
        <v>96000</v>
      </c>
      <c r="R643" s="11" t="n">
        <f aca="false">P643-Q643</f>
        <v>219000</v>
      </c>
      <c r="S643" s="11" t="n">
        <f aca="false">IF(Calculator!$B$6="Yes",MIN(Q643,'Tax Tables'!$B$31*'Tax Tables'!$B$32),0)</f>
        <v>96000</v>
      </c>
      <c r="T643" s="11" t="n">
        <f aca="false">S643*Calculator!$B$7</f>
        <v>19200</v>
      </c>
      <c r="U643" s="11" t="n">
        <f aca="false">S643*Calculator!$B$8</f>
        <v>16320</v>
      </c>
      <c r="V643" s="11" t="n">
        <f aca="false">IF(Q643&gt;0,'Tax Tables'!$B$32*MIN(MAX(Q643/'Tax Tables'!$B$32*'Tax Tables'!$B$33,'Tax Tables'!$B$34),'Tax Tables'!$B$35),0)</f>
        <v>135</v>
      </c>
      <c r="W643" s="11" t="n">
        <f aca="false">Calculator!$B$5-P643-U643-V643</f>
        <v>68545</v>
      </c>
      <c r="X643" s="11" t="n">
        <f aca="false">'Tax Tables'!$B$22*(MAX(W643,0)-IF(Calculator!$B$10="Yes",MIN(MAX(W643,0),'Tax Tables'!$B$27)*'Tax Tables'!$B$28+MIN(MAX(MAX(W643,0)-'Tax Tables'!$B$27,0),'Tax Tables'!$B$29)*'Tax Tables'!$B$30,MIN(MAX(W643,0),'Tax Tables'!$B$23)*'Tax Tables'!$B$24+MIN(MAX(MAX(W643,0)-'Tax Tables'!$B$23,0),'Tax Tables'!$B$25)*'Tax Tables'!$B$26))*1-MIN('Tax Tables'!$B$22*(MAX(W643,0)-IF(Calculator!$B$10="Yes",MIN(MAX(W643,0),'Tax Tables'!$B$27)*'Tax Tables'!$B$28+MIN(MAX(MAX(W643,0)-'Tax Tables'!$B$27,0),'Tax Tables'!$B$29)*'Tax Tables'!$B$30,MIN(MAX(W643,0),'Tax Tables'!$B$23)*'Tax Tables'!$B$24+MIN(MAX(MAX(W643,0)-'Tax Tables'!$B$23,0),'Tax Tables'!$B$25)*'Tax Tables'!$B$26))*Calculator!$B$11,Calculator!$B$12)</f>
        <v>5401.325</v>
      </c>
      <c r="Y643" s="11" t="n">
        <f aca="false">MAX(W643,0)-X643</f>
        <v>63143.675</v>
      </c>
      <c r="Z643" s="11" t="n">
        <f aca="false">MIN(IF(P643&gt;0,Calculator!$B$13,0)+T643+Calculator!$B$14,'Tax Tables'!$B$36)</f>
        <v>20200</v>
      </c>
      <c r="AA643" s="11" t="n">
        <f aca="false">MAX(P643-Z643,0)</f>
        <v>294800</v>
      </c>
      <c r="AB643" s="11" t="n">
        <f aca="false">SUMPRODUCT((AA643&gt;'Tax Tables'!$A$5:$A$17)*(AA643-'Tax Tables'!$A$5:$A$17)*'Tax Tables'!$C$5:$C$17)</f>
        <v>39510</v>
      </c>
      <c r="AC643" s="11" t="n">
        <f aca="false">IF(W643&lt;0,-1E+099,P643-T643-AB643+Y643+(T643+U643)*Calculator!$B$9)</f>
        <v>354953.675</v>
      </c>
    </row>
    <row r="644" customFormat="false" ht="15" hidden="false" customHeight="false" outlineLevel="0" collapsed="false">
      <c r="A644" s="11" t="n">
        <f aca="false">631*$B$3</f>
        <v>315500</v>
      </c>
      <c r="B644" s="11" t="n">
        <f aca="false">0</f>
        <v>0</v>
      </c>
      <c r="C644" s="11" t="n">
        <f aca="false">A644-B644</f>
        <v>315500</v>
      </c>
      <c r="D644" s="11" t="n">
        <f aca="false">IF(Calculator!$B$6="Yes",MIN(B644,'Tax Tables'!$B$31*'Tax Tables'!$B$32),0)</f>
        <v>0</v>
      </c>
      <c r="E644" s="11" t="n">
        <f aca="false">D644*Calculator!$B$7</f>
        <v>0</v>
      </c>
      <c r="F644" s="11" t="n">
        <f aca="false">D644*Calculator!$B$8</f>
        <v>0</v>
      </c>
      <c r="G644" s="11" t="n">
        <f aca="false">IF(B644&gt;0,'Tax Tables'!$B$32*MIN(MAX(B644/'Tax Tables'!$B$32*'Tax Tables'!$B$33,'Tax Tables'!$B$34),'Tax Tables'!$B$35),0)</f>
        <v>0</v>
      </c>
      <c r="H644" s="11" t="n">
        <f aca="false">Calculator!$B$5-A644-F644-G644</f>
        <v>84500</v>
      </c>
      <c r="I644" s="11" t="n">
        <f aca="false">'Tax Tables'!$B$22*(MAX(H644,0)-IF(Calculator!$B$10="Yes",MIN(MAX(H644,0),'Tax Tables'!$B$27)*'Tax Tables'!$B$28+MIN(MAX(MAX(H644,0)-'Tax Tables'!$B$27,0),'Tax Tables'!$B$29)*'Tax Tables'!$B$30,MIN(MAX(H644,0),'Tax Tables'!$B$23)*'Tax Tables'!$B$24+MIN(MAX(MAX(H644,0)-'Tax Tables'!$B$23,0),'Tax Tables'!$B$25)*'Tax Tables'!$B$26))*1-MIN('Tax Tables'!$B$22*(MAX(H644,0)-IF(Calculator!$B$10="Yes",MIN(MAX(H644,0),'Tax Tables'!$B$27)*'Tax Tables'!$B$28+MIN(MAX(MAX(H644,0)-'Tax Tables'!$B$27,0),'Tax Tables'!$B$29)*'Tax Tables'!$B$30,MIN(MAX(H644,0),'Tax Tables'!$B$23)*'Tax Tables'!$B$24+MIN(MAX(MAX(H644,0)-'Tax Tables'!$B$23,0),'Tax Tables'!$B$25)*'Tax Tables'!$B$26))*Calculator!$B$11,Calculator!$B$12)</f>
        <v>6757.5</v>
      </c>
      <c r="J644" s="11" t="n">
        <f aca="false">MAX(H644,0)-I644</f>
        <v>77742.5</v>
      </c>
      <c r="K644" s="11" t="n">
        <f aca="false">MIN(IF(A644&gt;0,Calculator!$B$13,0)+E644+Calculator!$B$14,'Tax Tables'!$B$36)</f>
        <v>1000</v>
      </c>
      <c r="L644" s="11" t="n">
        <f aca="false">MAX(A644-K644,0)</f>
        <v>314500</v>
      </c>
      <c r="M644" s="11" t="n">
        <f aca="false">SUMPRODUCT((L644&gt;'Tax Tables'!$A$5:$A$17)*(L644-'Tax Tables'!$A$5:$A$17)*'Tax Tables'!$C$5:$C$17)</f>
        <v>43450</v>
      </c>
      <c r="N644" s="11" t="n">
        <f aca="false">IF(H644&lt;0,-1E+099,A644-E644-M644+J644+(E644+F644)*Calculator!$B$9)</f>
        <v>349792.5</v>
      </c>
      <c r="O644" s="2"/>
      <c r="P644" s="11" t="n">
        <f aca="false">631*$B$3</f>
        <v>315500</v>
      </c>
      <c r="Q644" s="11" t="n">
        <f aca="false">MIN(P644,'Tax Tables'!$B$31*'Tax Tables'!$B$32)</f>
        <v>96000</v>
      </c>
      <c r="R644" s="11" t="n">
        <f aca="false">P644-Q644</f>
        <v>219500</v>
      </c>
      <c r="S644" s="11" t="n">
        <f aca="false">IF(Calculator!$B$6="Yes",MIN(Q644,'Tax Tables'!$B$31*'Tax Tables'!$B$32),0)</f>
        <v>96000</v>
      </c>
      <c r="T644" s="11" t="n">
        <f aca="false">S644*Calculator!$B$7</f>
        <v>19200</v>
      </c>
      <c r="U644" s="11" t="n">
        <f aca="false">S644*Calculator!$B$8</f>
        <v>16320</v>
      </c>
      <c r="V644" s="11" t="n">
        <f aca="false">IF(Q644&gt;0,'Tax Tables'!$B$32*MIN(MAX(Q644/'Tax Tables'!$B$32*'Tax Tables'!$B$33,'Tax Tables'!$B$34),'Tax Tables'!$B$35),0)</f>
        <v>135</v>
      </c>
      <c r="W644" s="11" t="n">
        <f aca="false">Calculator!$B$5-P644-U644-V644</f>
        <v>68045</v>
      </c>
      <c r="X644" s="11" t="n">
        <f aca="false">'Tax Tables'!$B$22*(MAX(W644,0)-IF(Calculator!$B$10="Yes",MIN(MAX(W644,0),'Tax Tables'!$B$27)*'Tax Tables'!$B$28+MIN(MAX(MAX(W644,0)-'Tax Tables'!$B$27,0),'Tax Tables'!$B$29)*'Tax Tables'!$B$30,MIN(MAX(W644,0),'Tax Tables'!$B$23)*'Tax Tables'!$B$24+MIN(MAX(MAX(W644,0)-'Tax Tables'!$B$23,0),'Tax Tables'!$B$25)*'Tax Tables'!$B$26))*1-MIN('Tax Tables'!$B$22*(MAX(W644,0)-IF(Calculator!$B$10="Yes",MIN(MAX(W644,0),'Tax Tables'!$B$27)*'Tax Tables'!$B$28+MIN(MAX(MAX(W644,0)-'Tax Tables'!$B$27,0),'Tax Tables'!$B$29)*'Tax Tables'!$B$30,MIN(MAX(W644,0),'Tax Tables'!$B$23)*'Tax Tables'!$B$24+MIN(MAX(MAX(W644,0)-'Tax Tables'!$B$23,0),'Tax Tables'!$B$25)*'Tax Tables'!$B$26))*Calculator!$B$11,Calculator!$B$12)</f>
        <v>5358.825</v>
      </c>
      <c r="Y644" s="11" t="n">
        <f aca="false">MAX(W644,0)-X644</f>
        <v>62686.175</v>
      </c>
      <c r="Z644" s="11" t="n">
        <f aca="false">MIN(IF(P644&gt;0,Calculator!$B$13,0)+T644+Calculator!$B$14,'Tax Tables'!$B$36)</f>
        <v>20200</v>
      </c>
      <c r="AA644" s="11" t="n">
        <f aca="false">MAX(P644-Z644,0)</f>
        <v>295300</v>
      </c>
      <c r="AB644" s="11" t="n">
        <f aca="false">SUMPRODUCT((AA644&gt;'Tax Tables'!$A$5:$A$17)*(AA644-'Tax Tables'!$A$5:$A$17)*'Tax Tables'!$C$5:$C$17)</f>
        <v>39610</v>
      </c>
      <c r="AC644" s="11" t="n">
        <f aca="false">IF(W644&lt;0,-1E+099,P644-T644-AB644+Y644+(T644+U644)*Calculator!$B$9)</f>
        <v>354896.175</v>
      </c>
    </row>
    <row r="645" customFormat="false" ht="15" hidden="false" customHeight="false" outlineLevel="0" collapsed="false">
      <c r="A645" s="11" t="n">
        <f aca="false">632*$B$3</f>
        <v>316000</v>
      </c>
      <c r="B645" s="11" t="n">
        <f aca="false">0</f>
        <v>0</v>
      </c>
      <c r="C645" s="11" t="n">
        <f aca="false">A645-B645</f>
        <v>316000</v>
      </c>
      <c r="D645" s="11" t="n">
        <f aca="false">IF(Calculator!$B$6="Yes",MIN(B645,'Tax Tables'!$B$31*'Tax Tables'!$B$32),0)</f>
        <v>0</v>
      </c>
      <c r="E645" s="11" t="n">
        <f aca="false">D645*Calculator!$B$7</f>
        <v>0</v>
      </c>
      <c r="F645" s="11" t="n">
        <f aca="false">D645*Calculator!$B$8</f>
        <v>0</v>
      </c>
      <c r="G645" s="11" t="n">
        <f aca="false">IF(B645&gt;0,'Tax Tables'!$B$32*MIN(MAX(B645/'Tax Tables'!$B$32*'Tax Tables'!$B$33,'Tax Tables'!$B$34),'Tax Tables'!$B$35),0)</f>
        <v>0</v>
      </c>
      <c r="H645" s="11" t="n">
        <f aca="false">Calculator!$B$5-A645-F645-G645</f>
        <v>84000</v>
      </c>
      <c r="I645" s="11" t="n">
        <f aca="false">'Tax Tables'!$B$22*(MAX(H645,0)-IF(Calculator!$B$10="Yes",MIN(MAX(H645,0),'Tax Tables'!$B$27)*'Tax Tables'!$B$28+MIN(MAX(MAX(H645,0)-'Tax Tables'!$B$27,0),'Tax Tables'!$B$29)*'Tax Tables'!$B$30,MIN(MAX(H645,0),'Tax Tables'!$B$23)*'Tax Tables'!$B$24+MIN(MAX(MAX(H645,0)-'Tax Tables'!$B$23,0),'Tax Tables'!$B$25)*'Tax Tables'!$B$26))*1-MIN('Tax Tables'!$B$22*(MAX(H645,0)-IF(Calculator!$B$10="Yes",MIN(MAX(H645,0),'Tax Tables'!$B$27)*'Tax Tables'!$B$28+MIN(MAX(MAX(H645,0)-'Tax Tables'!$B$27,0),'Tax Tables'!$B$29)*'Tax Tables'!$B$30,MIN(MAX(H645,0),'Tax Tables'!$B$23)*'Tax Tables'!$B$24+MIN(MAX(MAX(H645,0)-'Tax Tables'!$B$23,0),'Tax Tables'!$B$25)*'Tax Tables'!$B$26))*Calculator!$B$11,Calculator!$B$12)</f>
        <v>6715</v>
      </c>
      <c r="J645" s="11" t="n">
        <f aca="false">MAX(H645,0)-I645</f>
        <v>77285</v>
      </c>
      <c r="K645" s="11" t="n">
        <f aca="false">MIN(IF(A645&gt;0,Calculator!$B$13,0)+E645+Calculator!$B$14,'Tax Tables'!$B$36)</f>
        <v>1000</v>
      </c>
      <c r="L645" s="11" t="n">
        <f aca="false">MAX(A645-K645,0)</f>
        <v>315000</v>
      </c>
      <c r="M645" s="11" t="n">
        <f aca="false">SUMPRODUCT((L645&gt;'Tax Tables'!$A$5:$A$17)*(L645-'Tax Tables'!$A$5:$A$17)*'Tax Tables'!$C$5:$C$17)</f>
        <v>43550</v>
      </c>
      <c r="N645" s="11" t="n">
        <f aca="false">IF(H645&lt;0,-1E+099,A645-E645-M645+J645+(E645+F645)*Calculator!$B$9)</f>
        <v>349735</v>
      </c>
      <c r="O645" s="2"/>
      <c r="P645" s="11" t="n">
        <f aca="false">632*$B$3</f>
        <v>316000</v>
      </c>
      <c r="Q645" s="11" t="n">
        <f aca="false">MIN(P645,'Tax Tables'!$B$31*'Tax Tables'!$B$32)</f>
        <v>96000</v>
      </c>
      <c r="R645" s="11" t="n">
        <f aca="false">P645-Q645</f>
        <v>220000</v>
      </c>
      <c r="S645" s="11" t="n">
        <f aca="false">IF(Calculator!$B$6="Yes",MIN(Q645,'Tax Tables'!$B$31*'Tax Tables'!$B$32),0)</f>
        <v>96000</v>
      </c>
      <c r="T645" s="11" t="n">
        <f aca="false">S645*Calculator!$B$7</f>
        <v>19200</v>
      </c>
      <c r="U645" s="11" t="n">
        <f aca="false">S645*Calculator!$B$8</f>
        <v>16320</v>
      </c>
      <c r="V645" s="11" t="n">
        <f aca="false">IF(Q645&gt;0,'Tax Tables'!$B$32*MIN(MAX(Q645/'Tax Tables'!$B$32*'Tax Tables'!$B$33,'Tax Tables'!$B$34),'Tax Tables'!$B$35),0)</f>
        <v>135</v>
      </c>
      <c r="W645" s="11" t="n">
        <f aca="false">Calculator!$B$5-P645-U645-V645</f>
        <v>67545</v>
      </c>
      <c r="X645" s="11" t="n">
        <f aca="false">'Tax Tables'!$B$22*(MAX(W645,0)-IF(Calculator!$B$10="Yes",MIN(MAX(W645,0),'Tax Tables'!$B$27)*'Tax Tables'!$B$28+MIN(MAX(MAX(W645,0)-'Tax Tables'!$B$27,0),'Tax Tables'!$B$29)*'Tax Tables'!$B$30,MIN(MAX(W645,0),'Tax Tables'!$B$23)*'Tax Tables'!$B$24+MIN(MAX(MAX(W645,0)-'Tax Tables'!$B$23,0),'Tax Tables'!$B$25)*'Tax Tables'!$B$26))*1-MIN('Tax Tables'!$B$22*(MAX(W645,0)-IF(Calculator!$B$10="Yes",MIN(MAX(W645,0),'Tax Tables'!$B$27)*'Tax Tables'!$B$28+MIN(MAX(MAX(W645,0)-'Tax Tables'!$B$27,0),'Tax Tables'!$B$29)*'Tax Tables'!$B$30,MIN(MAX(W645,0),'Tax Tables'!$B$23)*'Tax Tables'!$B$24+MIN(MAX(MAX(W645,0)-'Tax Tables'!$B$23,0),'Tax Tables'!$B$25)*'Tax Tables'!$B$26))*Calculator!$B$11,Calculator!$B$12)</f>
        <v>5316.325</v>
      </c>
      <c r="Y645" s="11" t="n">
        <f aca="false">MAX(W645,0)-X645</f>
        <v>62228.675</v>
      </c>
      <c r="Z645" s="11" t="n">
        <f aca="false">MIN(IF(P645&gt;0,Calculator!$B$13,0)+T645+Calculator!$B$14,'Tax Tables'!$B$36)</f>
        <v>20200</v>
      </c>
      <c r="AA645" s="11" t="n">
        <f aca="false">MAX(P645-Z645,0)</f>
        <v>295800</v>
      </c>
      <c r="AB645" s="11" t="n">
        <f aca="false">SUMPRODUCT((AA645&gt;'Tax Tables'!$A$5:$A$17)*(AA645-'Tax Tables'!$A$5:$A$17)*'Tax Tables'!$C$5:$C$17)</f>
        <v>39710</v>
      </c>
      <c r="AC645" s="11" t="n">
        <f aca="false">IF(W645&lt;0,-1E+099,P645-T645-AB645+Y645+(T645+U645)*Calculator!$B$9)</f>
        <v>354838.675</v>
      </c>
    </row>
    <row r="646" customFormat="false" ht="15" hidden="false" customHeight="false" outlineLevel="0" collapsed="false">
      <c r="A646" s="11" t="n">
        <f aca="false">633*$B$3</f>
        <v>316500</v>
      </c>
      <c r="B646" s="11" t="n">
        <f aca="false">0</f>
        <v>0</v>
      </c>
      <c r="C646" s="11" t="n">
        <f aca="false">A646-B646</f>
        <v>316500</v>
      </c>
      <c r="D646" s="11" t="n">
        <f aca="false">IF(Calculator!$B$6="Yes",MIN(B646,'Tax Tables'!$B$31*'Tax Tables'!$B$32),0)</f>
        <v>0</v>
      </c>
      <c r="E646" s="11" t="n">
        <f aca="false">D646*Calculator!$B$7</f>
        <v>0</v>
      </c>
      <c r="F646" s="11" t="n">
        <f aca="false">D646*Calculator!$B$8</f>
        <v>0</v>
      </c>
      <c r="G646" s="11" t="n">
        <f aca="false">IF(B646&gt;0,'Tax Tables'!$B$32*MIN(MAX(B646/'Tax Tables'!$B$32*'Tax Tables'!$B$33,'Tax Tables'!$B$34),'Tax Tables'!$B$35),0)</f>
        <v>0</v>
      </c>
      <c r="H646" s="11" t="n">
        <f aca="false">Calculator!$B$5-A646-F646-G646</f>
        <v>83500</v>
      </c>
      <c r="I646" s="11" t="n">
        <f aca="false">'Tax Tables'!$B$22*(MAX(H646,0)-IF(Calculator!$B$10="Yes",MIN(MAX(H646,0),'Tax Tables'!$B$27)*'Tax Tables'!$B$28+MIN(MAX(MAX(H646,0)-'Tax Tables'!$B$27,0),'Tax Tables'!$B$29)*'Tax Tables'!$B$30,MIN(MAX(H646,0),'Tax Tables'!$B$23)*'Tax Tables'!$B$24+MIN(MAX(MAX(H646,0)-'Tax Tables'!$B$23,0),'Tax Tables'!$B$25)*'Tax Tables'!$B$26))*1-MIN('Tax Tables'!$B$22*(MAX(H646,0)-IF(Calculator!$B$10="Yes",MIN(MAX(H646,0),'Tax Tables'!$B$27)*'Tax Tables'!$B$28+MIN(MAX(MAX(H646,0)-'Tax Tables'!$B$27,0),'Tax Tables'!$B$29)*'Tax Tables'!$B$30,MIN(MAX(H646,0),'Tax Tables'!$B$23)*'Tax Tables'!$B$24+MIN(MAX(MAX(H646,0)-'Tax Tables'!$B$23,0),'Tax Tables'!$B$25)*'Tax Tables'!$B$26))*Calculator!$B$11,Calculator!$B$12)</f>
        <v>6672.5</v>
      </c>
      <c r="J646" s="11" t="n">
        <f aca="false">MAX(H646,0)-I646</f>
        <v>76827.5</v>
      </c>
      <c r="K646" s="11" t="n">
        <f aca="false">MIN(IF(A646&gt;0,Calculator!$B$13,0)+E646+Calculator!$B$14,'Tax Tables'!$B$36)</f>
        <v>1000</v>
      </c>
      <c r="L646" s="11" t="n">
        <f aca="false">MAX(A646-K646,0)</f>
        <v>315500</v>
      </c>
      <c r="M646" s="11" t="n">
        <f aca="false">SUMPRODUCT((L646&gt;'Tax Tables'!$A$5:$A$17)*(L646-'Tax Tables'!$A$5:$A$17)*'Tax Tables'!$C$5:$C$17)</f>
        <v>43650</v>
      </c>
      <c r="N646" s="11" t="n">
        <f aca="false">IF(H646&lt;0,-1E+099,A646-E646-M646+J646+(E646+F646)*Calculator!$B$9)</f>
        <v>349677.5</v>
      </c>
      <c r="O646" s="2"/>
      <c r="P646" s="11" t="n">
        <f aca="false">633*$B$3</f>
        <v>316500</v>
      </c>
      <c r="Q646" s="11" t="n">
        <f aca="false">MIN(P646,'Tax Tables'!$B$31*'Tax Tables'!$B$32)</f>
        <v>96000</v>
      </c>
      <c r="R646" s="11" t="n">
        <f aca="false">P646-Q646</f>
        <v>220500</v>
      </c>
      <c r="S646" s="11" t="n">
        <f aca="false">IF(Calculator!$B$6="Yes",MIN(Q646,'Tax Tables'!$B$31*'Tax Tables'!$B$32),0)</f>
        <v>96000</v>
      </c>
      <c r="T646" s="11" t="n">
        <f aca="false">S646*Calculator!$B$7</f>
        <v>19200</v>
      </c>
      <c r="U646" s="11" t="n">
        <f aca="false">S646*Calculator!$B$8</f>
        <v>16320</v>
      </c>
      <c r="V646" s="11" t="n">
        <f aca="false">IF(Q646&gt;0,'Tax Tables'!$B$32*MIN(MAX(Q646/'Tax Tables'!$B$32*'Tax Tables'!$B$33,'Tax Tables'!$B$34),'Tax Tables'!$B$35),0)</f>
        <v>135</v>
      </c>
      <c r="W646" s="11" t="n">
        <f aca="false">Calculator!$B$5-P646-U646-V646</f>
        <v>67045</v>
      </c>
      <c r="X646" s="11" t="n">
        <f aca="false">'Tax Tables'!$B$22*(MAX(W646,0)-IF(Calculator!$B$10="Yes",MIN(MAX(W646,0),'Tax Tables'!$B$27)*'Tax Tables'!$B$28+MIN(MAX(MAX(W646,0)-'Tax Tables'!$B$27,0),'Tax Tables'!$B$29)*'Tax Tables'!$B$30,MIN(MAX(W646,0),'Tax Tables'!$B$23)*'Tax Tables'!$B$24+MIN(MAX(MAX(W646,0)-'Tax Tables'!$B$23,0),'Tax Tables'!$B$25)*'Tax Tables'!$B$26))*1-MIN('Tax Tables'!$B$22*(MAX(W646,0)-IF(Calculator!$B$10="Yes",MIN(MAX(W646,0),'Tax Tables'!$B$27)*'Tax Tables'!$B$28+MIN(MAX(MAX(W646,0)-'Tax Tables'!$B$27,0),'Tax Tables'!$B$29)*'Tax Tables'!$B$30,MIN(MAX(W646,0),'Tax Tables'!$B$23)*'Tax Tables'!$B$24+MIN(MAX(MAX(W646,0)-'Tax Tables'!$B$23,0),'Tax Tables'!$B$25)*'Tax Tables'!$B$26))*Calculator!$B$11,Calculator!$B$12)</f>
        <v>5273.825</v>
      </c>
      <c r="Y646" s="11" t="n">
        <f aca="false">MAX(W646,0)-X646</f>
        <v>61771.175</v>
      </c>
      <c r="Z646" s="11" t="n">
        <f aca="false">MIN(IF(P646&gt;0,Calculator!$B$13,0)+T646+Calculator!$B$14,'Tax Tables'!$B$36)</f>
        <v>20200</v>
      </c>
      <c r="AA646" s="11" t="n">
        <f aca="false">MAX(P646-Z646,0)</f>
        <v>296300</v>
      </c>
      <c r="AB646" s="11" t="n">
        <f aca="false">SUMPRODUCT((AA646&gt;'Tax Tables'!$A$5:$A$17)*(AA646-'Tax Tables'!$A$5:$A$17)*'Tax Tables'!$C$5:$C$17)</f>
        <v>39810</v>
      </c>
      <c r="AC646" s="11" t="n">
        <f aca="false">IF(W646&lt;0,-1E+099,P646-T646-AB646+Y646+(T646+U646)*Calculator!$B$9)</f>
        <v>354781.175</v>
      </c>
    </row>
    <row r="647" customFormat="false" ht="15" hidden="false" customHeight="false" outlineLevel="0" collapsed="false">
      <c r="A647" s="11" t="n">
        <f aca="false">634*$B$3</f>
        <v>317000</v>
      </c>
      <c r="B647" s="11" t="n">
        <f aca="false">0</f>
        <v>0</v>
      </c>
      <c r="C647" s="11" t="n">
        <f aca="false">A647-B647</f>
        <v>317000</v>
      </c>
      <c r="D647" s="11" t="n">
        <f aca="false">IF(Calculator!$B$6="Yes",MIN(B647,'Tax Tables'!$B$31*'Tax Tables'!$B$32),0)</f>
        <v>0</v>
      </c>
      <c r="E647" s="11" t="n">
        <f aca="false">D647*Calculator!$B$7</f>
        <v>0</v>
      </c>
      <c r="F647" s="11" t="n">
        <f aca="false">D647*Calculator!$B$8</f>
        <v>0</v>
      </c>
      <c r="G647" s="11" t="n">
        <f aca="false">IF(B647&gt;0,'Tax Tables'!$B$32*MIN(MAX(B647/'Tax Tables'!$B$32*'Tax Tables'!$B$33,'Tax Tables'!$B$34),'Tax Tables'!$B$35),0)</f>
        <v>0</v>
      </c>
      <c r="H647" s="11" t="n">
        <f aca="false">Calculator!$B$5-A647-F647-G647</f>
        <v>83000</v>
      </c>
      <c r="I647" s="11" t="n">
        <f aca="false">'Tax Tables'!$B$22*(MAX(H647,0)-IF(Calculator!$B$10="Yes",MIN(MAX(H647,0),'Tax Tables'!$B$27)*'Tax Tables'!$B$28+MIN(MAX(MAX(H647,0)-'Tax Tables'!$B$27,0),'Tax Tables'!$B$29)*'Tax Tables'!$B$30,MIN(MAX(H647,0),'Tax Tables'!$B$23)*'Tax Tables'!$B$24+MIN(MAX(MAX(H647,0)-'Tax Tables'!$B$23,0),'Tax Tables'!$B$25)*'Tax Tables'!$B$26))*1-MIN('Tax Tables'!$B$22*(MAX(H647,0)-IF(Calculator!$B$10="Yes",MIN(MAX(H647,0),'Tax Tables'!$B$27)*'Tax Tables'!$B$28+MIN(MAX(MAX(H647,0)-'Tax Tables'!$B$27,0),'Tax Tables'!$B$29)*'Tax Tables'!$B$30,MIN(MAX(H647,0),'Tax Tables'!$B$23)*'Tax Tables'!$B$24+MIN(MAX(MAX(H647,0)-'Tax Tables'!$B$23,0),'Tax Tables'!$B$25)*'Tax Tables'!$B$26))*Calculator!$B$11,Calculator!$B$12)</f>
        <v>6630</v>
      </c>
      <c r="J647" s="11" t="n">
        <f aca="false">MAX(H647,0)-I647</f>
        <v>76370</v>
      </c>
      <c r="K647" s="11" t="n">
        <f aca="false">MIN(IF(A647&gt;0,Calculator!$B$13,0)+E647+Calculator!$B$14,'Tax Tables'!$B$36)</f>
        <v>1000</v>
      </c>
      <c r="L647" s="11" t="n">
        <f aca="false">MAX(A647-K647,0)</f>
        <v>316000</v>
      </c>
      <c r="M647" s="11" t="n">
        <f aca="false">SUMPRODUCT((L647&gt;'Tax Tables'!$A$5:$A$17)*(L647-'Tax Tables'!$A$5:$A$17)*'Tax Tables'!$C$5:$C$17)</f>
        <v>43750</v>
      </c>
      <c r="N647" s="11" t="n">
        <f aca="false">IF(H647&lt;0,-1E+099,A647-E647-M647+J647+(E647+F647)*Calculator!$B$9)</f>
        <v>349620</v>
      </c>
      <c r="O647" s="2"/>
      <c r="P647" s="11" t="n">
        <f aca="false">634*$B$3</f>
        <v>317000</v>
      </c>
      <c r="Q647" s="11" t="n">
        <f aca="false">MIN(P647,'Tax Tables'!$B$31*'Tax Tables'!$B$32)</f>
        <v>96000</v>
      </c>
      <c r="R647" s="11" t="n">
        <f aca="false">P647-Q647</f>
        <v>221000</v>
      </c>
      <c r="S647" s="11" t="n">
        <f aca="false">IF(Calculator!$B$6="Yes",MIN(Q647,'Tax Tables'!$B$31*'Tax Tables'!$B$32),0)</f>
        <v>96000</v>
      </c>
      <c r="T647" s="11" t="n">
        <f aca="false">S647*Calculator!$B$7</f>
        <v>19200</v>
      </c>
      <c r="U647" s="11" t="n">
        <f aca="false">S647*Calculator!$B$8</f>
        <v>16320</v>
      </c>
      <c r="V647" s="11" t="n">
        <f aca="false">IF(Q647&gt;0,'Tax Tables'!$B$32*MIN(MAX(Q647/'Tax Tables'!$B$32*'Tax Tables'!$B$33,'Tax Tables'!$B$34),'Tax Tables'!$B$35),0)</f>
        <v>135</v>
      </c>
      <c r="W647" s="11" t="n">
        <f aca="false">Calculator!$B$5-P647-U647-V647</f>
        <v>66545</v>
      </c>
      <c r="X647" s="11" t="n">
        <f aca="false">'Tax Tables'!$B$22*(MAX(W647,0)-IF(Calculator!$B$10="Yes",MIN(MAX(W647,0),'Tax Tables'!$B$27)*'Tax Tables'!$B$28+MIN(MAX(MAX(W647,0)-'Tax Tables'!$B$27,0),'Tax Tables'!$B$29)*'Tax Tables'!$B$30,MIN(MAX(W647,0),'Tax Tables'!$B$23)*'Tax Tables'!$B$24+MIN(MAX(MAX(W647,0)-'Tax Tables'!$B$23,0),'Tax Tables'!$B$25)*'Tax Tables'!$B$26))*1-MIN('Tax Tables'!$B$22*(MAX(W647,0)-IF(Calculator!$B$10="Yes",MIN(MAX(W647,0),'Tax Tables'!$B$27)*'Tax Tables'!$B$28+MIN(MAX(MAX(W647,0)-'Tax Tables'!$B$27,0),'Tax Tables'!$B$29)*'Tax Tables'!$B$30,MIN(MAX(W647,0),'Tax Tables'!$B$23)*'Tax Tables'!$B$24+MIN(MAX(MAX(W647,0)-'Tax Tables'!$B$23,0),'Tax Tables'!$B$25)*'Tax Tables'!$B$26))*Calculator!$B$11,Calculator!$B$12)</f>
        <v>5231.325</v>
      </c>
      <c r="Y647" s="11" t="n">
        <f aca="false">MAX(W647,0)-X647</f>
        <v>61313.675</v>
      </c>
      <c r="Z647" s="11" t="n">
        <f aca="false">MIN(IF(P647&gt;0,Calculator!$B$13,0)+T647+Calculator!$B$14,'Tax Tables'!$B$36)</f>
        <v>20200</v>
      </c>
      <c r="AA647" s="11" t="n">
        <f aca="false">MAX(P647-Z647,0)</f>
        <v>296800</v>
      </c>
      <c r="AB647" s="11" t="n">
        <f aca="false">SUMPRODUCT((AA647&gt;'Tax Tables'!$A$5:$A$17)*(AA647-'Tax Tables'!$A$5:$A$17)*'Tax Tables'!$C$5:$C$17)</f>
        <v>39910</v>
      </c>
      <c r="AC647" s="11" t="n">
        <f aca="false">IF(W647&lt;0,-1E+099,P647-T647-AB647+Y647+(T647+U647)*Calculator!$B$9)</f>
        <v>354723.675</v>
      </c>
    </row>
    <row r="648" customFormat="false" ht="15" hidden="false" customHeight="false" outlineLevel="0" collapsed="false">
      <c r="A648" s="11" t="n">
        <f aca="false">635*$B$3</f>
        <v>317500</v>
      </c>
      <c r="B648" s="11" t="n">
        <f aca="false">0</f>
        <v>0</v>
      </c>
      <c r="C648" s="11" t="n">
        <f aca="false">A648-B648</f>
        <v>317500</v>
      </c>
      <c r="D648" s="11" t="n">
        <f aca="false">IF(Calculator!$B$6="Yes",MIN(B648,'Tax Tables'!$B$31*'Tax Tables'!$B$32),0)</f>
        <v>0</v>
      </c>
      <c r="E648" s="11" t="n">
        <f aca="false">D648*Calculator!$B$7</f>
        <v>0</v>
      </c>
      <c r="F648" s="11" t="n">
        <f aca="false">D648*Calculator!$B$8</f>
        <v>0</v>
      </c>
      <c r="G648" s="11" t="n">
        <f aca="false">IF(B648&gt;0,'Tax Tables'!$B$32*MIN(MAX(B648/'Tax Tables'!$B$32*'Tax Tables'!$B$33,'Tax Tables'!$B$34),'Tax Tables'!$B$35),0)</f>
        <v>0</v>
      </c>
      <c r="H648" s="11" t="n">
        <f aca="false">Calculator!$B$5-A648-F648-G648</f>
        <v>82500</v>
      </c>
      <c r="I648" s="11" t="n">
        <f aca="false">'Tax Tables'!$B$22*(MAX(H648,0)-IF(Calculator!$B$10="Yes",MIN(MAX(H648,0),'Tax Tables'!$B$27)*'Tax Tables'!$B$28+MIN(MAX(MAX(H648,0)-'Tax Tables'!$B$27,0),'Tax Tables'!$B$29)*'Tax Tables'!$B$30,MIN(MAX(H648,0),'Tax Tables'!$B$23)*'Tax Tables'!$B$24+MIN(MAX(MAX(H648,0)-'Tax Tables'!$B$23,0),'Tax Tables'!$B$25)*'Tax Tables'!$B$26))*1-MIN('Tax Tables'!$B$22*(MAX(H648,0)-IF(Calculator!$B$10="Yes",MIN(MAX(H648,0),'Tax Tables'!$B$27)*'Tax Tables'!$B$28+MIN(MAX(MAX(H648,0)-'Tax Tables'!$B$27,0),'Tax Tables'!$B$29)*'Tax Tables'!$B$30,MIN(MAX(H648,0),'Tax Tables'!$B$23)*'Tax Tables'!$B$24+MIN(MAX(MAX(H648,0)-'Tax Tables'!$B$23,0),'Tax Tables'!$B$25)*'Tax Tables'!$B$26))*Calculator!$B$11,Calculator!$B$12)</f>
        <v>6587.5</v>
      </c>
      <c r="J648" s="11" t="n">
        <f aca="false">MAX(H648,0)-I648</f>
        <v>75912.5</v>
      </c>
      <c r="K648" s="11" t="n">
        <f aca="false">MIN(IF(A648&gt;0,Calculator!$B$13,0)+E648+Calculator!$B$14,'Tax Tables'!$B$36)</f>
        <v>1000</v>
      </c>
      <c r="L648" s="11" t="n">
        <f aca="false">MAX(A648-K648,0)</f>
        <v>316500</v>
      </c>
      <c r="M648" s="11" t="n">
        <f aca="false">SUMPRODUCT((L648&gt;'Tax Tables'!$A$5:$A$17)*(L648-'Tax Tables'!$A$5:$A$17)*'Tax Tables'!$C$5:$C$17)</f>
        <v>43850</v>
      </c>
      <c r="N648" s="11" t="n">
        <f aca="false">IF(H648&lt;0,-1E+099,A648-E648-M648+J648+(E648+F648)*Calculator!$B$9)</f>
        <v>349562.5</v>
      </c>
      <c r="O648" s="2"/>
      <c r="P648" s="11" t="n">
        <f aca="false">635*$B$3</f>
        <v>317500</v>
      </c>
      <c r="Q648" s="11" t="n">
        <f aca="false">MIN(P648,'Tax Tables'!$B$31*'Tax Tables'!$B$32)</f>
        <v>96000</v>
      </c>
      <c r="R648" s="11" t="n">
        <f aca="false">P648-Q648</f>
        <v>221500</v>
      </c>
      <c r="S648" s="11" t="n">
        <f aca="false">IF(Calculator!$B$6="Yes",MIN(Q648,'Tax Tables'!$B$31*'Tax Tables'!$B$32),0)</f>
        <v>96000</v>
      </c>
      <c r="T648" s="11" t="n">
        <f aca="false">S648*Calculator!$B$7</f>
        <v>19200</v>
      </c>
      <c r="U648" s="11" t="n">
        <f aca="false">S648*Calculator!$B$8</f>
        <v>16320</v>
      </c>
      <c r="V648" s="11" t="n">
        <f aca="false">IF(Q648&gt;0,'Tax Tables'!$B$32*MIN(MAX(Q648/'Tax Tables'!$B$32*'Tax Tables'!$B$33,'Tax Tables'!$B$34),'Tax Tables'!$B$35),0)</f>
        <v>135</v>
      </c>
      <c r="W648" s="11" t="n">
        <f aca="false">Calculator!$B$5-P648-U648-V648</f>
        <v>66045</v>
      </c>
      <c r="X648" s="11" t="n">
        <f aca="false">'Tax Tables'!$B$22*(MAX(W648,0)-IF(Calculator!$B$10="Yes",MIN(MAX(W648,0),'Tax Tables'!$B$27)*'Tax Tables'!$B$28+MIN(MAX(MAX(W648,0)-'Tax Tables'!$B$27,0),'Tax Tables'!$B$29)*'Tax Tables'!$B$30,MIN(MAX(W648,0),'Tax Tables'!$B$23)*'Tax Tables'!$B$24+MIN(MAX(MAX(W648,0)-'Tax Tables'!$B$23,0),'Tax Tables'!$B$25)*'Tax Tables'!$B$26))*1-MIN('Tax Tables'!$B$22*(MAX(W648,0)-IF(Calculator!$B$10="Yes",MIN(MAX(W648,0),'Tax Tables'!$B$27)*'Tax Tables'!$B$28+MIN(MAX(MAX(W648,0)-'Tax Tables'!$B$27,0),'Tax Tables'!$B$29)*'Tax Tables'!$B$30,MIN(MAX(W648,0),'Tax Tables'!$B$23)*'Tax Tables'!$B$24+MIN(MAX(MAX(W648,0)-'Tax Tables'!$B$23,0),'Tax Tables'!$B$25)*'Tax Tables'!$B$26))*Calculator!$B$11,Calculator!$B$12)</f>
        <v>5188.825</v>
      </c>
      <c r="Y648" s="11" t="n">
        <f aca="false">MAX(W648,0)-X648</f>
        <v>60856.175</v>
      </c>
      <c r="Z648" s="11" t="n">
        <f aca="false">MIN(IF(P648&gt;0,Calculator!$B$13,0)+T648+Calculator!$B$14,'Tax Tables'!$B$36)</f>
        <v>20200</v>
      </c>
      <c r="AA648" s="11" t="n">
        <f aca="false">MAX(P648-Z648,0)</f>
        <v>297300</v>
      </c>
      <c r="AB648" s="11" t="n">
        <f aca="false">SUMPRODUCT((AA648&gt;'Tax Tables'!$A$5:$A$17)*(AA648-'Tax Tables'!$A$5:$A$17)*'Tax Tables'!$C$5:$C$17)</f>
        <v>40010</v>
      </c>
      <c r="AC648" s="11" t="n">
        <f aca="false">IF(W648&lt;0,-1E+099,P648-T648-AB648+Y648+(T648+U648)*Calculator!$B$9)</f>
        <v>354666.175</v>
      </c>
    </row>
    <row r="649" customFormat="false" ht="15" hidden="false" customHeight="false" outlineLevel="0" collapsed="false">
      <c r="A649" s="11" t="n">
        <f aca="false">636*$B$3</f>
        <v>318000</v>
      </c>
      <c r="B649" s="11" t="n">
        <f aca="false">0</f>
        <v>0</v>
      </c>
      <c r="C649" s="11" t="n">
        <f aca="false">A649-B649</f>
        <v>318000</v>
      </c>
      <c r="D649" s="11" t="n">
        <f aca="false">IF(Calculator!$B$6="Yes",MIN(B649,'Tax Tables'!$B$31*'Tax Tables'!$B$32),0)</f>
        <v>0</v>
      </c>
      <c r="E649" s="11" t="n">
        <f aca="false">D649*Calculator!$B$7</f>
        <v>0</v>
      </c>
      <c r="F649" s="11" t="n">
        <f aca="false">D649*Calculator!$B$8</f>
        <v>0</v>
      </c>
      <c r="G649" s="11" t="n">
        <f aca="false">IF(B649&gt;0,'Tax Tables'!$B$32*MIN(MAX(B649/'Tax Tables'!$B$32*'Tax Tables'!$B$33,'Tax Tables'!$B$34),'Tax Tables'!$B$35),0)</f>
        <v>0</v>
      </c>
      <c r="H649" s="11" t="n">
        <f aca="false">Calculator!$B$5-A649-F649-G649</f>
        <v>82000</v>
      </c>
      <c r="I649" s="11" t="n">
        <f aca="false">'Tax Tables'!$B$22*(MAX(H649,0)-IF(Calculator!$B$10="Yes",MIN(MAX(H649,0),'Tax Tables'!$B$27)*'Tax Tables'!$B$28+MIN(MAX(MAX(H649,0)-'Tax Tables'!$B$27,0),'Tax Tables'!$B$29)*'Tax Tables'!$B$30,MIN(MAX(H649,0),'Tax Tables'!$B$23)*'Tax Tables'!$B$24+MIN(MAX(MAX(H649,0)-'Tax Tables'!$B$23,0),'Tax Tables'!$B$25)*'Tax Tables'!$B$26))*1-MIN('Tax Tables'!$B$22*(MAX(H649,0)-IF(Calculator!$B$10="Yes",MIN(MAX(H649,0),'Tax Tables'!$B$27)*'Tax Tables'!$B$28+MIN(MAX(MAX(H649,0)-'Tax Tables'!$B$27,0),'Tax Tables'!$B$29)*'Tax Tables'!$B$30,MIN(MAX(H649,0),'Tax Tables'!$B$23)*'Tax Tables'!$B$24+MIN(MAX(MAX(H649,0)-'Tax Tables'!$B$23,0),'Tax Tables'!$B$25)*'Tax Tables'!$B$26))*Calculator!$B$11,Calculator!$B$12)</f>
        <v>6545</v>
      </c>
      <c r="J649" s="11" t="n">
        <f aca="false">MAX(H649,0)-I649</f>
        <v>75455</v>
      </c>
      <c r="K649" s="11" t="n">
        <f aca="false">MIN(IF(A649&gt;0,Calculator!$B$13,0)+E649+Calculator!$B$14,'Tax Tables'!$B$36)</f>
        <v>1000</v>
      </c>
      <c r="L649" s="11" t="n">
        <f aca="false">MAX(A649-K649,0)</f>
        <v>317000</v>
      </c>
      <c r="M649" s="11" t="n">
        <f aca="false">SUMPRODUCT((L649&gt;'Tax Tables'!$A$5:$A$17)*(L649-'Tax Tables'!$A$5:$A$17)*'Tax Tables'!$C$5:$C$17)</f>
        <v>43950</v>
      </c>
      <c r="N649" s="11" t="n">
        <f aca="false">IF(H649&lt;0,-1E+099,A649-E649-M649+J649+(E649+F649)*Calculator!$B$9)</f>
        <v>349505</v>
      </c>
      <c r="O649" s="2"/>
      <c r="P649" s="11" t="n">
        <f aca="false">636*$B$3</f>
        <v>318000</v>
      </c>
      <c r="Q649" s="11" t="n">
        <f aca="false">MIN(P649,'Tax Tables'!$B$31*'Tax Tables'!$B$32)</f>
        <v>96000</v>
      </c>
      <c r="R649" s="11" t="n">
        <f aca="false">P649-Q649</f>
        <v>222000</v>
      </c>
      <c r="S649" s="11" t="n">
        <f aca="false">IF(Calculator!$B$6="Yes",MIN(Q649,'Tax Tables'!$B$31*'Tax Tables'!$B$32),0)</f>
        <v>96000</v>
      </c>
      <c r="T649" s="11" t="n">
        <f aca="false">S649*Calculator!$B$7</f>
        <v>19200</v>
      </c>
      <c r="U649" s="11" t="n">
        <f aca="false">S649*Calculator!$B$8</f>
        <v>16320</v>
      </c>
      <c r="V649" s="11" t="n">
        <f aca="false">IF(Q649&gt;0,'Tax Tables'!$B$32*MIN(MAX(Q649/'Tax Tables'!$B$32*'Tax Tables'!$B$33,'Tax Tables'!$B$34),'Tax Tables'!$B$35),0)</f>
        <v>135</v>
      </c>
      <c r="W649" s="11" t="n">
        <f aca="false">Calculator!$B$5-P649-U649-V649</f>
        <v>65545</v>
      </c>
      <c r="X649" s="11" t="n">
        <f aca="false">'Tax Tables'!$B$22*(MAX(W649,0)-IF(Calculator!$B$10="Yes",MIN(MAX(W649,0),'Tax Tables'!$B$27)*'Tax Tables'!$B$28+MIN(MAX(MAX(W649,0)-'Tax Tables'!$B$27,0),'Tax Tables'!$B$29)*'Tax Tables'!$B$30,MIN(MAX(W649,0),'Tax Tables'!$B$23)*'Tax Tables'!$B$24+MIN(MAX(MAX(W649,0)-'Tax Tables'!$B$23,0),'Tax Tables'!$B$25)*'Tax Tables'!$B$26))*1-MIN('Tax Tables'!$B$22*(MAX(W649,0)-IF(Calculator!$B$10="Yes",MIN(MAX(W649,0),'Tax Tables'!$B$27)*'Tax Tables'!$B$28+MIN(MAX(MAX(W649,0)-'Tax Tables'!$B$27,0),'Tax Tables'!$B$29)*'Tax Tables'!$B$30,MIN(MAX(W649,0),'Tax Tables'!$B$23)*'Tax Tables'!$B$24+MIN(MAX(MAX(W649,0)-'Tax Tables'!$B$23,0),'Tax Tables'!$B$25)*'Tax Tables'!$B$26))*Calculator!$B$11,Calculator!$B$12)</f>
        <v>5146.325</v>
      </c>
      <c r="Y649" s="11" t="n">
        <f aca="false">MAX(W649,0)-X649</f>
        <v>60398.675</v>
      </c>
      <c r="Z649" s="11" t="n">
        <f aca="false">MIN(IF(P649&gt;0,Calculator!$B$13,0)+T649+Calculator!$B$14,'Tax Tables'!$B$36)</f>
        <v>20200</v>
      </c>
      <c r="AA649" s="11" t="n">
        <f aca="false">MAX(P649-Z649,0)</f>
        <v>297800</v>
      </c>
      <c r="AB649" s="11" t="n">
        <f aca="false">SUMPRODUCT((AA649&gt;'Tax Tables'!$A$5:$A$17)*(AA649-'Tax Tables'!$A$5:$A$17)*'Tax Tables'!$C$5:$C$17)</f>
        <v>40110</v>
      </c>
      <c r="AC649" s="11" t="n">
        <f aca="false">IF(W649&lt;0,-1E+099,P649-T649-AB649+Y649+(T649+U649)*Calculator!$B$9)</f>
        <v>354608.675</v>
      </c>
    </row>
    <row r="650" customFormat="false" ht="15" hidden="false" customHeight="false" outlineLevel="0" collapsed="false">
      <c r="A650" s="11" t="n">
        <f aca="false">637*$B$3</f>
        <v>318500</v>
      </c>
      <c r="B650" s="11" t="n">
        <f aca="false">0</f>
        <v>0</v>
      </c>
      <c r="C650" s="11" t="n">
        <f aca="false">A650-B650</f>
        <v>318500</v>
      </c>
      <c r="D650" s="11" t="n">
        <f aca="false">IF(Calculator!$B$6="Yes",MIN(B650,'Tax Tables'!$B$31*'Tax Tables'!$B$32),0)</f>
        <v>0</v>
      </c>
      <c r="E650" s="11" t="n">
        <f aca="false">D650*Calculator!$B$7</f>
        <v>0</v>
      </c>
      <c r="F650" s="11" t="n">
        <f aca="false">D650*Calculator!$B$8</f>
        <v>0</v>
      </c>
      <c r="G650" s="11" t="n">
        <f aca="false">IF(B650&gt;0,'Tax Tables'!$B$32*MIN(MAX(B650/'Tax Tables'!$B$32*'Tax Tables'!$B$33,'Tax Tables'!$B$34),'Tax Tables'!$B$35),0)</f>
        <v>0</v>
      </c>
      <c r="H650" s="11" t="n">
        <f aca="false">Calculator!$B$5-A650-F650-G650</f>
        <v>81500</v>
      </c>
      <c r="I650" s="11" t="n">
        <f aca="false">'Tax Tables'!$B$22*(MAX(H650,0)-IF(Calculator!$B$10="Yes",MIN(MAX(H650,0),'Tax Tables'!$B$27)*'Tax Tables'!$B$28+MIN(MAX(MAX(H650,0)-'Tax Tables'!$B$27,0),'Tax Tables'!$B$29)*'Tax Tables'!$B$30,MIN(MAX(H650,0),'Tax Tables'!$B$23)*'Tax Tables'!$B$24+MIN(MAX(MAX(H650,0)-'Tax Tables'!$B$23,0),'Tax Tables'!$B$25)*'Tax Tables'!$B$26))*1-MIN('Tax Tables'!$B$22*(MAX(H650,0)-IF(Calculator!$B$10="Yes",MIN(MAX(H650,0),'Tax Tables'!$B$27)*'Tax Tables'!$B$28+MIN(MAX(MAX(H650,0)-'Tax Tables'!$B$27,0),'Tax Tables'!$B$29)*'Tax Tables'!$B$30,MIN(MAX(H650,0),'Tax Tables'!$B$23)*'Tax Tables'!$B$24+MIN(MAX(MAX(H650,0)-'Tax Tables'!$B$23,0),'Tax Tables'!$B$25)*'Tax Tables'!$B$26))*Calculator!$B$11,Calculator!$B$12)</f>
        <v>6502.5</v>
      </c>
      <c r="J650" s="11" t="n">
        <f aca="false">MAX(H650,0)-I650</f>
        <v>74997.5</v>
      </c>
      <c r="K650" s="11" t="n">
        <f aca="false">MIN(IF(A650&gt;0,Calculator!$B$13,0)+E650+Calculator!$B$14,'Tax Tables'!$B$36)</f>
        <v>1000</v>
      </c>
      <c r="L650" s="11" t="n">
        <f aca="false">MAX(A650-K650,0)</f>
        <v>317500</v>
      </c>
      <c r="M650" s="11" t="n">
        <f aca="false">SUMPRODUCT((L650&gt;'Tax Tables'!$A$5:$A$17)*(L650-'Tax Tables'!$A$5:$A$17)*'Tax Tables'!$C$5:$C$17)</f>
        <v>44050</v>
      </c>
      <c r="N650" s="11" t="n">
        <f aca="false">IF(H650&lt;0,-1E+099,A650-E650-M650+J650+(E650+F650)*Calculator!$B$9)</f>
        <v>349447.5</v>
      </c>
      <c r="O650" s="2"/>
      <c r="P650" s="11" t="n">
        <f aca="false">637*$B$3</f>
        <v>318500</v>
      </c>
      <c r="Q650" s="11" t="n">
        <f aca="false">MIN(P650,'Tax Tables'!$B$31*'Tax Tables'!$B$32)</f>
        <v>96000</v>
      </c>
      <c r="R650" s="11" t="n">
        <f aca="false">P650-Q650</f>
        <v>222500</v>
      </c>
      <c r="S650" s="11" t="n">
        <f aca="false">IF(Calculator!$B$6="Yes",MIN(Q650,'Tax Tables'!$B$31*'Tax Tables'!$B$32),0)</f>
        <v>96000</v>
      </c>
      <c r="T650" s="11" t="n">
        <f aca="false">S650*Calculator!$B$7</f>
        <v>19200</v>
      </c>
      <c r="U650" s="11" t="n">
        <f aca="false">S650*Calculator!$B$8</f>
        <v>16320</v>
      </c>
      <c r="V650" s="11" t="n">
        <f aca="false">IF(Q650&gt;0,'Tax Tables'!$B$32*MIN(MAX(Q650/'Tax Tables'!$B$32*'Tax Tables'!$B$33,'Tax Tables'!$B$34),'Tax Tables'!$B$35),0)</f>
        <v>135</v>
      </c>
      <c r="W650" s="11" t="n">
        <f aca="false">Calculator!$B$5-P650-U650-V650</f>
        <v>65045</v>
      </c>
      <c r="X650" s="11" t="n">
        <f aca="false">'Tax Tables'!$B$22*(MAX(W650,0)-IF(Calculator!$B$10="Yes",MIN(MAX(W650,0),'Tax Tables'!$B$27)*'Tax Tables'!$B$28+MIN(MAX(MAX(W650,0)-'Tax Tables'!$B$27,0),'Tax Tables'!$B$29)*'Tax Tables'!$B$30,MIN(MAX(W650,0),'Tax Tables'!$B$23)*'Tax Tables'!$B$24+MIN(MAX(MAX(W650,0)-'Tax Tables'!$B$23,0),'Tax Tables'!$B$25)*'Tax Tables'!$B$26))*1-MIN('Tax Tables'!$B$22*(MAX(W650,0)-IF(Calculator!$B$10="Yes",MIN(MAX(W650,0),'Tax Tables'!$B$27)*'Tax Tables'!$B$28+MIN(MAX(MAX(W650,0)-'Tax Tables'!$B$27,0),'Tax Tables'!$B$29)*'Tax Tables'!$B$30,MIN(MAX(W650,0),'Tax Tables'!$B$23)*'Tax Tables'!$B$24+MIN(MAX(MAX(W650,0)-'Tax Tables'!$B$23,0),'Tax Tables'!$B$25)*'Tax Tables'!$B$26))*Calculator!$B$11,Calculator!$B$12)</f>
        <v>5103.825</v>
      </c>
      <c r="Y650" s="11" t="n">
        <f aca="false">MAX(W650,0)-X650</f>
        <v>59941.175</v>
      </c>
      <c r="Z650" s="11" t="n">
        <f aca="false">MIN(IF(P650&gt;0,Calculator!$B$13,0)+T650+Calculator!$B$14,'Tax Tables'!$B$36)</f>
        <v>20200</v>
      </c>
      <c r="AA650" s="11" t="n">
        <f aca="false">MAX(P650-Z650,0)</f>
        <v>298300</v>
      </c>
      <c r="AB650" s="11" t="n">
        <f aca="false">SUMPRODUCT((AA650&gt;'Tax Tables'!$A$5:$A$17)*(AA650-'Tax Tables'!$A$5:$A$17)*'Tax Tables'!$C$5:$C$17)</f>
        <v>40210</v>
      </c>
      <c r="AC650" s="11" t="n">
        <f aca="false">IF(W650&lt;0,-1E+099,P650-T650-AB650+Y650+(T650+U650)*Calculator!$B$9)</f>
        <v>354551.175</v>
      </c>
    </row>
    <row r="651" customFormat="false" ht="15" hidden="false" customHeight="false" outlineLevel="0" collapsed="false">
      <c r="A651" s="11" t="n">
        <f aca="false">638*$B$3</f>
        <v>319000</v>
      </c>
      <c r="B651" s="11" t="n">
        <f aca="false">0</f>
        <v>0</v>
      </c>
      <c r="C651" s="11" t="n">
        <f aca="false">A651-B651</f>
        <v>319000</v>
      </c>
      <c r="D651" s="11" t="n">
        <f aca="false">IF(Calculator!$B$6="Yes",MIN(B651,'Tax Tables'!$B$31*'Tax Tables'!$B$32),0)</f>
        <v>0</v>
      </c>
      <c r="E651" s="11" t="n">
        <f aca="false">D651*Calculator!$B$7</f>
        <v>0</v>
      </c>
      <c r="F651" s="11" t="n">
        <f aca="false">D651*Calculator!$B$8</f>
        <v>0</v>
      </c>
      <c r="G651" s="11" t="n">
        <f aca="false">IF(B651&gt;0,'Tax Tables'!$B$32*MIN(MAX(B651/'Tax Tables'!$B$32*'Tax Tables'!$B$33,'Tax Tables'!$B$34),'Tax Tables'!$B$35),0)</f>
        <v>0</v>
      </c>
      <c r="H651" s="11" t="n">
        <f aca="false">Calculator!$B$5-A651-F651-G651</f>
        <v>81000</v>
      </c>
      <c r="I651" s="11" t="n">
        <f aca="false">'Tax Tables'!$B$22*(MAX(H651,0)-IF(Calculator!$B$10="Yes",MIN(MAX(H651,0),'Tax Tables'!$B$27)*'Tax Tables'!$B$28+MIN(MAX(MAX(H651,0)-'Tax Tables'!$B$27,0),'Tax Tables'!$B$29)*'Tax Tables'!$B$30,MIN(MAX(H651,0),'Tax Tables'!$B$23)*'Tax Tables'!$B$24+MIN(MAX(MAX(H651,0)-'Tax Tables'!$B$23,0),'Tax Tables'!$B$25)*'Tax Tables'!$B$26))*1-MIN('Tax Tables'!$B$22*(MAX(H651,0)-IF(Calculator!$B$10="Yes",MIN(MAX(H651,0),'Tax Tables'!$B$27)*'Tax Tables'!$B$28+MIN(MAX(MAX(H651,0)-'Tax Tables'!$B$27,0),'Tax Tables'!$B$29)*'Tax Tables'!$B$30,MIN(MAX(H651,0),'Tax Tables'!$B$23)*'Tax Tables'!$B$24+MIN(MAX(MAX(H651,0)-'Tax Tables'!$B$23,0),'Tax Tables'!$B$25)*'Tax Tables'!$B$26))*Calculator!$B$11,Calculator!$B$12)</f>
        <v>6460</v>
      </c>
      <c r="J651" s="11" t="n">
        <f aca="false">MAX(H651,0)-I651</f>
        <v>74540</v>
      </c>
      <c r="K651" s="11" t="n">
        <f aca="false">MIN(IF(A651&gt;0,Calculator!$B$13,0)+E651+Calculator!$B$14,'Tax Tables'!$B$36)</f>
        <v>1000</v>
      </c>
      <c r="L651" s="11" t="n">
        <f aca="false">MAX(A651-K651,0)</f>
        <v>318000</v>
      </c>
      <c r="M651" s="11" t="n">
        <f aca="false">SUMPRODUCT((L651&gt;'Tax Tables'!$A$5:$A$17)*(L651-'Tax Tables'!$A$5:$A$17)*'Tax Tables'!$C$5:$C$17)</f>
        <v>44150</v>
      </c>
      <c r="N651" s="11" t="n">
        <f aca="false">IF(H651&lt;0,-1E+099,A651-E651-M651+J651+(E651+F651)*Calculator!$B$9)</f>
        <v>349390</v>
      </c>
      <c r="O651" s="2"/>
      <c r="P651" s="11" t="n">
        <f aca="false">638*$B$3</f>
        <v>319000</v>
      </c>
      <c r="Q651" s="11" t="n">
        <f aca="false">MIN(P651,'Tax Tables'!$B$31*'Tax Tables'!$B$32)</f>
        <v>96000</v>
      </c>
      <c r="R651" s="11" t="n">
        <f aca="false">P651-Q651</f>
        <v>223000</v>
      </c>
      <c r="S651" s="11" t="n">
        <f aca="false">IF(Calculator!$B$6="Yes",MIN(Q651,'Tax Tables'!$B$31*'Tax Tables'!$B$32),0)</f>
        <v>96000</v>
      </c>
      <c r="T651" s="11" t="n">
        <f aca="false">S651*Calculator!$B$7</f>
        <v>19200</v>
      </c>
      <c r="U651" s="11" t="n">
        <f aca="false">S651*Calculator!$B$8</f>
        <v>16320</v>
      </c>
      <c r="V651" s="11" t="n">
        <f aca="false">IF(Q651&gt;0,'Tax Tables'!$B$32*MIN(MAX(Q651/'Tax Tables'!$B$32*'Tax Tables'!$B$33,'Tax Tables'!$B$34),'Tax Tables'!$B$35),0)</f>
        <v>135</v>
      </c>
      <c r="W651" s="11" t="n">
        <f aca="false">Calculator!$B$5-P651-U651-V651</f>
        <v>64545</v>
      </c>
      <c r="X651" s="11" t="n">
        <f aca="false">'Tax Tables'!$B$22*(MAX(W651,0)-IF(Calculator!$B$10="Yes",MIN(MAX(W651,0),'Tax Tables'!$B$27)*'Tax Tables'!$B$28+MIN(MAX(MAX(W651,0)-'Tax Tables'!$B$27,0),'Tax Tables'!$B$29)*'Tax Tables'!$B$30,MIN(MAX(W651,0),'Tax Tables'!$B$23)*'Tax Tables'!$B$24+MIN(MAX(MAX(W651,0)-'Tax Tables'!$B$23,0),'Tax Tables'!$B$25)*'Tax Tables'!$B$26))*1-MIN('Tax Tables'!$B$22*(MAX(W651,0)-IF(Calculator!$B$10="Yes",MIN(MAX(W651,0),'Tax Tables'!$B$27)*'Tax Tables'!$B$28+MIN(MAX(MAX(W651,0)-'Tax Tables'!$B$27,0),'Tax Tables'!$B$29)*'Tax Tables'!$B$30,MIN(MAX(W651,0),'Tax Tables'!$B$23)*'Tax Tables'!$B$24+MIN(MAX(MAX(W651,0)-'Tax Tables'!$B$23,0),'Tax Tables'!$B$25)*'Tax Tables'!$B$26))*Calculator!$B$11,Calculator!$B$12)</f>
        <v>5061.325</v>
      </c>
      <c r="Y651" s="11" t="n">
        <f aca="false">MAX(W651,0)-X651</f>
        <v>59483.675</v>
      </c>
      <c r="Z651" s="11" t="n">
        <f aca="false">MIN(IF(P651&gt;0,Calculator!$B$13,0)+T651+Calculator!$B$14,'Tax Tables'!$B$36)</f>
        <v>20200</v>
      </c>
      <c r="AA651" s="11" t="n">
        <f aca="false">MAX(P651-Z651,0)</f>
        <v>298800</v>
      </c>
      <c r="AB651" s="11" t="n">
        <f aca="false">SUMPRODUCT((AA651&gt;'Tax Tables'!$A$5:$A$17)*(AA651-'Tax Tables'!$A$5:$A$17)*'Tax Tables'!$C$5:$C$17)</f>
        <v>40310</v>
      </c>
      <c r="AC651" s="11" t="n">
        <f aca="false">IF(W651&lt;0,-1E+099,P651-T651-AB651+Y651+(T651+U651)*Calculator!$B$9)</f>
        <v>354493.675</v>
      </c>
    </row>
    <row r="652" customFormat="false" ht="15" hidden="false" customHeight="false" outlineLevel="0" collapsed="false">
      <c r="A652" s="11" t="n">
        <f aca="false">639*$B$3</f>
        <v>319500</v>
      </c>
      <c r="B652" s="11" t="n">
        <f aca="false">0</f>
        <v>0</v>
      </c>
      <c r="C652" s="11" t="n">
        <f aca="false">A652-B652</f>
        <v>319500</v>
      </c>
      <c r="D652" s="11" t="n">
        <f aca="false">IF(Calculator!$B$6="Yes",MIN(B652,'Tax Tables'!$B$31*'Tax Tables'!$B$32),0)</f>
        <v>0</v>
      </c>
      <c r="E652" s="11" t="n">
        <f aca="false">D652*Calculator!$B$7</f>
        <v>0</v>
      </c>
      <c r="F652" s="11" t="n">
        <f aca="false">D652*Calculator!$B$8</f>
        <v>0</v>
      </c>
      <c r="G652" s="11" t="n">
        <f aca="false">IF(B652&gt;0,'Tax Tables'!$B$32*MIN(MAX(B652/'Tax Tables'!$B$32*'Tax Tables'!$B$33,'Tax Tables'!$B$34),'Tax Tables'!$B$35),0)</f>
        <v>0</v>
      </c>
      <c r="H652" s="11" t="n">
        <f aca="false">Calculator!$B$5-A652-F652-G652</f>
        <v>80500</v>
      </c>
      <c r="I652" s="11" t="n">
        <f aca="false">'Tax Tables'!$B$22*(MAX(H652,0)-IF(Calculator!$B$10="Yes",MIN(MAX(H652,0),'Tax Tables'!$B$27)*'Tax Tables'!$B$28+MIN(MAX(MAX(H652,0)-'Tax Tables'!$B$27,0),'Tax Tables'!$B$29)*'Tax Tables'!$B$30,MIN(MAX(H652,0),'Tax Tables'!$B$23)*'Tax Tables'!$B$24+MIN(MAX(MAX(H652,0)-'Tax Tables'!$B$23,0),'Tax Tables'!$B$25)*'Tax Tables'!$B$26))*1-MIN('Tax Tables'!$B$22*(MAX(H652,0)-IF(Calculator!$B$10="Yes",MIN(MAX(H652,0),'Tax Tables'!$B$27)*'Tax Tables'!$B$28+MIN(MAX(MAX(H652,0)-'Tax Tables'!$B$27,0),'Tax Tables'!$B$29)*'Tax Tables'!$B$30,MIN(MAX(H652,0),'Tax Tables'!$B$23)*'Tax Tables'!$B$24+MIN(MAX(MAX(H652,0)-'Tax Tables'!$B$23,0),'Tax Tables'!$B$25)*'Tax Tables'!$B$26))*Calculator!$B$11,Calculator!$B$12)</f>
        <v>6417.5</v>
      </c>
      <c r="J652" s="11" t="n">
        <f aca="false">MAX(H652,0)-I652</f>
        <v>74082.5</v>
      </c>
      <c r="K652" s="11" t="n">
        <f aca="false">MIN(IF(A652&gt;0,Calculator!$B$13,0)+E652+Calculator!$B$14,'Tax Tables'!$B$36)</f>
        <v>1000</v>
      </c>
      <c r="L652" s="11" t="n">
        <f aca="false">MAX(A652-K652,0)</f>
        <v>318500</v>
      </c>
      <c r="M652" s="11" t="n">
        <f aca="false">SUMPRODUCT((L652&gt;'Tax Tables'!$A$5:$A$17)*(L652-'Tax Tables'!$A$5:$A$17)*'Tax Tables'!$C$5:$C$17)</f>
        <v>44250</v>
      </c>
      <c r="N652" s="11" t="n">
        <f aca="false">IF(H652&lt;0,-1E+099,A652-E652-M652+J652+(E652+F652)*Calculator!$B$9)</f>
        <v>349332.5</v>
      </c>
      <c r="O652" s="2"/>
      <c r="P652" s="11" t="n">
        <f aca="false">639*$B$3</f>
        <v>319500</v>
      </c>
      <c r="Q652" s="11" t="n">
        <f aca="false">MIN(P652,'Tax Tables'!$B$31*'Tax Tables'!$B$32)</f>
        <v>96000</v>
      </c>
      <c r="R652" s="11" t="n">
        <f aca="false">P652-Q652</f>
        <v>223500</v>
      </c>
      <c r="S652" s="11" t="n">
        <f aca="false">IF(Calculator!$B$6="Yes",MIN(Q652,'Tax Tables'!$B$31*'Tax Tables'!$B$32),0)</f>
        <v>96000</v>
      </c>
      <c r="T652" s="11" t="n">
        <f aca="false">S652*Calculator!$B$7</f>
        <v>19200</v>
      </c>
      <c r="U652" s="11" t="n">
        <f aca="false">S652*Calculator!$B$8</f>
        <v>16320</v>
      </c>
      <c r="V652" s="11" t="n">
        <f aca="false">IF(Q652&gt;0,'Tax Tables'!$B$32*MIN(MAX(Q652/'Tax Tables'!$B$32*'Tax Tables'!$B$33,'Tax Tables'!$B$34),'Tax Tables'!$B$35),0)</f>
        <v>135</v>
      </c>
      <c r="W652" s="11" t="n">
        <f aca="false">Calculator!$B$5-P652-U652-V652</f>
        <v>64045</v>
      </c>
      <c r="X652" s="11" t="n">
        <f aca="false">'Tax Tables'!$B$22*(MAX(W652,0)-IF(Calculator!$B$10="Yes",MIN(MAX(W652,0),'Tax Tables'!$B$27)*'Tax Tables'!$B$28+MIN(MAX(MAX(W652,0)-'Tax Tables'!$B$27,0),'Tax Tables'!$B$29)*'Tax Tables'!$B$30,MIN(MAX(W652,0),'Tax Tables'!$B$23)*'Tax Tables'!$B$24+MIN(MAX(MAX(W652,0)-'Tax Tables'!$B$23,0),'Tax Tables'!$B$25)*'Tax Tables'!$B$26))*1-MIN('Tax Tables'!$B$22*(MAX(W652,0)-IF(Calculator!$B$10="Yes",MIN(MAX(W652,0),'Tax Tables'!$B$27)*'Tax Tables'!$B$28+MIN(MAX(MAX(W652,0)-'Tax Tables'!$B$27,0),'Tax Tables'!$B$29)*'Tax Tables'!$B$30,MIN(MAX(W652,0),'Tax Tables'!$B$23)*'Tax Tables'!$B$24+MIN(MAX(MAX(W652,0)-'Tax Tables'!$B$23,0),'Tax Tables'!$B$25)*'Tax Tables'!$B$26))*Calculator!$B$11,Calculator!$B$12)</f>
        <v>5018.825</v>
      </c>
      <c r="Y652" s="11" t="n">
        <f aca="false">MAX(W652,0)-X652</f>
        <v>59026.175</v>
      </c>
      <c r="Z652" s="11" t="n">
        <f aca="false">MIN(IF(P652&gt;0,Calculator!$B$13,0)+T652+Calculator!$B$14,'Tax Tables'!$B$36)</f>
        <v>20200</v>
      </c>
      <c r="AA652" s="11" t="n">
        <f aca="false">MAX(P652-Z652,0)</f>
        <v>299300</v>
      </c>
      <c r="AB652" s="11" t="n">
        <f aca="false">SUMPRODUCT((AA652&gt;'Tax Tables'!$A$5:$A$17)*(AA652-'Tax Tables'!$A$5:$A$17)*'Tax Tables'!$C$5:$C$17)</f>
        <v>40410</v>
      </c>
      <c r="AC652" s="11" t="n">
        <f aca="false">IF(W652&lt;0,-1E+099,P652-T652-AB652+Y652+(T652+U652)*Calculator!$B$9)</f>
        <v>354436.175</v>
      </c>
    </row>
    <row r="653" customFormat="false" ht="15" hidden="false" customHeight="false" outlineLevel="0" collapsed="false">
      <c r="A653" s="11" t="n">
        <f aca="false">640*$B$3</f>
        <v>320000</v>
      </c>
      <c r="B653" s="11" t="n">
        <f aca="false">0</f>
        <v>0</v>
      </c>
      <c r="C653" s="11" t="n">
        <f aca="false">A653-B653</f>
        <v>320000</v>
      </c>
      <c r="D653" s="11" t="n">
        <f aca="false">IF(Calculator!$B$6="Yes",MIN(B653,'Tax Tables'!$B$31*'Tax Tables'!$B$32),0)</f>
        <v>0</v>
      </c>
      <c r="E653" s="11" t="n">
        <f aca="false">D653*Calculator!$B$7</f>
        <v>0</v>
      </c>
      <c r="F653" s="11" t="n">
        <f aca="false">D653*Calculator!$B$8</f>
        <v>0</v>
      </c>
      <c r="G653" s="11" t="n">
        <f aca="false">IF(B653&gt;0,'Tax Tables'!$B$32*MIN(MAX(B653/'Tax Tables'!$B$32*'Tax Tables'!$B$33,'Tax Tables'!$B$34),'Tax Tables'!$B$35),0)</f>
        <v>0</v>
      </c>
      <c r="H653" s="11" t="n">
        <f aca="false">Calculator!$B$5-A653-F653-G653</f>
        <v>80000</v>
      </c>
      <c r="I653" s="11" t="n">
        <f aca="false">'Tax Tables'!$B$22*(MAX(H653,0)-IF(Calculator!$B$10="Yes",MIN(MAX(H653,0),'Tax Tables'!$B$27)*'Tax Tables'!$B$28+MIN(MAX(MAX(H653,0)-'Tax Tables'!$B$27,0),'Tax Tables'!$B$29)*'Tax Tables'!$B$30,MIN(MAX(H653,0),'Tax Tables'!$B$23)*'Tax Tables'!$B$24+MIN(MAX(MAX(H653,0)-'Tax Tables'!$B$23,0),'Tax Tables'!$B$25)*'Tax Tables'!$B$26))*1-MIN('Tax Tables'!$B$22*(MAX(H653,0)-IF(Calculator!$B$10="Yes",MIN(MAX(H653,0),'Tax Tables'!$B$27)*'Tax Tables'!$B$28+MIN(MAX(MAX(H653,0)-'Tax Tables'!$B$27,0),'Tax Tables'!$B$29)*'Tax Tables'!$B$30,MIN(MAX(H653,0),'Tax Tables'!$B$23)*'Tax Tables'!$B$24+MIN(MAX(MAX(H653,0)-'Tax Tables'!$B$23,0),'Tax Tables'!$B$25)*'Tax Tables'!$B$26))*Calculator!$B$11,Calculator!$B$12)</f>
        <v>6375</v>
      </c>
      <c r="J653" s="11" t="n">
        <f aca="false">MAX(H653,0)-I653</f>
        <v>73625</v>
      </c>
      <c r="K653" s="11" t="n">
        <f aca="false">MIN(IF(A653&gt;0,Calculator!$B$13,0)+E653+Calculator!$B$14,'Tax Tables'!$B$36)</f>
        <v>1000</v>
      </c>
      <c r="L653" s="11" t="n">
        <f aca="false">MAX(A653-K653,0)</f>
        <v>319000</v>
      </c>
      <c r="M653" s="11" t="n">
        <f aca="false">SUMPRODUCT((L653&gt;'Tax Tables'!$A$5:$A$17)*(L653-'Tax Tables'!$A$5:$A$17)*'Tax Tables'!$C$5:$C$17)</f>
        <v>44350</v>
      </c>
      <c r="N653" s="11" t="n">
        <f aca="false">IF(H653&lt;0,-1E+099,A653-E653-M653+J653+(E653+F653)*Calculator!$B$9)</f>
        <v>349275</v>
      </c>
      <c r="O653" s="2"/>
      <c r="P653" s="11" t="n">
        <f aca="false">640*$B$3</f>
        <v>320000</v>
      </c>
      <c r="Q653" s="11" t="n">
        <f aca="false">MIN(P653,'Tax Tables'!$B$31*'Tax Tables'!$B$32)</f>
        <v>96000</v>
      </c>
      <c r="R653" s="11" t="n">
        <f aca="false">P653-Q653</f>
        <v>224000</v>
      </c>
      <c r="S653" s="11" t="n">
        <f aca="false">IF(Calculator!$B$6="Yes",MIN(Q653,'Tax Tables'!$B$31*'Tax Tables'!$B$32),0)</f>
        <v>96000</v>
      </c>
      <c r="T653" s="11" t="n">
        <f aca="false">S653*Calculator!$B$7</f>
        <v>19200</v>
      </c>
      <c r="U653" s="11" t="n">
        <f aca="false">S653*Calculator!$B$8</f>
        <v>16320</v>
      </c>
      <c r="V653" s="11" t="n">
        <f aca="false">IF(Q653&gt;0,'Tax Tables'!$B$32*MIN(MAX(Q653/'Tax Tables'!$B$32*'Tax Tables'!$B$33,'Tax Tables'!$B$34),'Tax Tables'!$B$35),0)</f>
        <v>135</v>
      </c>
      <c r="W653" s="11" t="n">
        <f aca="false">Calculator!$B$5-P653-U653-V653</f>
        <v>63545</v>
      </c>
      <c r="X653" s="11" t="n">
        <f aca="false">'Tax Tables'!$B$22*(MAX(W653,0)-IF(Calculator!$B$10="Yes",MIN(MAX(W653,0),'Tax Tables'!$B$27)*'Tax Tables'!$B$28+MIN(MAX(MAX(W653,0)-'Tax Tables'!$B$27,0),'Tax Tables'!$B$29)*'Tax Tables'!$B$30,MIN(MAX(W653,0),'Tax Tables'!$B$23)*'Tax Tables'!$B$24+MIN(MAX(MAX(W653,0)-'Tax Tables'!$B$23,0),'Tax Tables'!$B$25)*'Tax Tables'!$B$26))*1-MIN('Tax Tables'!$B$22*(MAX(W653,0)-IF(Calculator!$B$10="Yes",MIN(MAX(W653,0),'Tax Tables'!$B$27)*'Tax Tables'!$B$28+MIN(MAX(MAX(W653,0)-'Tax Tables'!$B$27,0),'Tax Tables'!$B$29)*'Tax Tables'!$B$30,MIN(MAX(W653,0),'Tax Tables'!$B$23)*'Tax Tables'!$B$24+MIN(MAX(MAX(W653,0)-'Tax Tables'!$B$23,0),'Tax Tables'!$B$25)*'Tax Tables'!$B$26))*Calculator!$B$11,Calculator!$B$12)</f>
        <v>4976.325</v>
      </c>
      <c r="Y653" s="11" t="n">
        <f aca="false">MAX(W653,0)-X653</f>
        <v>58568.675</v>
      </c>
      <c r="Z653" s="11" t="n">
        <f aca="false">MIN(IF(P653&gt;0,Calculator!$B$13,0)+T653+Calculator!$B$14,'Tax Tables'!$B$36)</f>
        <v>20200</v>
      </c>
      <c r="AA653" s="11" t="n">
        <f aca="false">MAX(P653-Z653,0)</f>
        <v>299800</v>
      </c>
      <c r="AB653" s="11" t="n">
        <f aca="false">SUMPRODUCT((AA653&gt;'Tax Tables'!$A$5:$A$17)*(AA653-'Tax Tables'!$A$5:$A$17)*'Tax Tables'!$C$5:$C$17)</f>
        <v>40510</v>
      </c>
      <c r="AC653" s="11" t="n">
        <f aca="false">IF(W653&lt;0,-1E+099,P653-T653-AB653+Y653+(T653+U653)*Calculator!$B$9)</f>
        <v>354378.675</v>
      </c>
    </row>
    <row r="654" customFormat="false" ht="15" hidden="false" customHeight="false" outlineLevel="0" collapsed="false">
      <c r="A654" s="11" t="n">
        <f aca="false">641*$B$3</f>
        <v>320500</v>
      </c>
      <c r="B654" s="11" t="n">
        <f aca="false">0</f>
        <v>0</v>
      </c>
      <c r="C654" s="11" t="n">
        <f aca="false">A654-B654</f>
        <v>320500</v>
      </c>
      <c r="D654" s="11" t="n">
        <f aca="false">IF(Calculator!$B$6="Yes",MIN(B654,'Tax Tables'!$B$31*'Tax Tables'!$B$32),0)</f>
        <v>0</v>
      </c>
      <c r="E654" s="11" t="n">
        <f aca="false">D654*Calculator!$B$7</f>
        <v>0</v>
      </c>
      <c r="F654" s="11" t="n">
        <f aca="false">D654*Calculator!$B$8</f>
        <v>0</v>
      </c>
      <c r="G654" s="11" t="n">
        <f aca="false">IF(B654&gt;0,'Tax Tables'!$B$32*MIN(MAX(B654/'Tax Tables'!$B$32*'Tax Tables'!$B$33,'Tax Tables'!$B$34),'Tax Tables'!$B$35),0)</f>
        <v>0</v>
      </c>
      <c r="H654" s="11" t="n">
        <f aca="false">Calculator!$B$5-A654-F654-G654</f>
        <v>79500</v>
      </c>
      <c r="I654" s="11" t="n">
        <f aca="false">'Tax Tables'!$B$22*(MAX(H654,0)-IF(Calculator!$B$10="Yes",MIN(MAX(H654,0),'Tax Tables'!$B$27)*'Tax Tables'!$B$28+MIN(MAX(MAX(H654,0)-'Tax Tables'!$B$27,0),'Tax Tables'!$B$29)*'Tax Tables'!$B$30,MIN(MAX(H654,0),'Tax Tables'!$B$23)*'Tax Tables'!$B$24+MIN(MAX(MAX(H654,0)-'Tax Tables'!$B$23,0),'Tax Tables'!$B$25)*'Tax Tables'!$B$26))*1-MIN('Tax Tables'!$B$22*(MAX(H654,0)-IF(Calculator!$B$10="Yes",MIN(MAX(H654,0),'Tax Tables'!$B$27)*'Tax Tables'!$B$28+MIN(MAX(MAX(H654,0)-'Tax Tables'!$B$27,0),'Tax Tables'!$B$29)*'Tax Tables'!$B$30,MIN(MAX(H654,0),'Tax Tables'!$B$23)*'Tax Tables'!$B$24+MIN(MAX(MAX(H654,0)-'Tax Tables'!$B$23,0),'Tax Tables'!$B$25)*'Tax Tables'!$B$26))*Calculator!$B$11,Calculator!$B$12)</f>
        <v>6332.5</v>
      </c>
      <c r="J654" s="11" t="n">
        <f aca="false">MAX(H654,0)-I654</f>
        <v>73167.5</v>
      </c>
      <c r="K654" s="11" t="n">
        <f aca="false">MIN(IF(A654&gt;0,Calculator!$B$13,0)+E654+Calculator!$B$14,'Tax Tables'!$B$36)</f>
        <v>1000</v>
      </c>
      <c r="L654" s="11" t="n">
        <f aca="false">MAX(A654-K654,0)</f>
        <v>319500</v>
      </c>
      <c r="M654" s="11" t="n">
        <f aca="false">SUMPRODUCT((L654&gt;'Tax Tables'!$A$5:$A$17)*(L654-'Tax Tables'!$A$5:$A$17)*'Tax Tables'!$C$5:$C$17)</f>
        <v>44450</v>
      </c>
      <c r="N654" s="11" t="n">
        <f aca="false">IF(H654&lt;0,-1E+099,A654-E654-M654+J654+(E654+F654)*Calculator!$B$9)</f>
        <v>349217.5</v>
      </c>
      <c r="O654" s="2"/>
      <c r="P654" s="11" t="n">
        <f aca="false">641*$B$3</f>
        <v>320500</v>
      </c>
      <c r="Q654" s="11" t="n">
        <f aca="false">MIN(P654,'Tax Tables'!$B$31*'Tax Tables'!$B$32)</f>
        <v>96000</v>
      </c>
      <c r="R654" s="11" t="n">
        <f aca="false">P654-Q654</f>
        <v>224500</v>
      </c>
      <c r="S654" s="11" t="n">
        <f aca="false">IF(Calculator!$B$6="Yes",MIN(Q654,'Tax Tables'!$B$31*'Tax Tables'!$B$32),0)</f>
        <v>96000</v>
      </c>
      <c r="T654" s="11" t="n">
        <f aca="false">S654*Calculator!$B$7</f>
        <v>19200</v>
      </c>
      <c r="U654" s="11" t="n">
        <f aca="false">S654*Calculator!$B$8</f>
        <v>16320</v>
      </c>
      <c r="V654" s="11" t="n">
        <f aca="false">IF(Q654&gt;0,'Tax Tables'!$B$32*MIN(MAX(Q654/'Tax Tables'!$B$32*'Tax Tables'!$B$33,'Tax Tables'!$B$34),'Tax Tables'!$B$35),0)</f>
        <v>135</v>
      </c>
      <c r="W654" s="11" t="n">
        <f aca="false">Calculator!$B$5-P654-U654-V654</f>
        <v>63045</v>
      </c>
      <c r="X654" s="11" t="n">
        <f aca="false">'Tax Tables'!$B$22*(MAX(W654,0)-IF(Calculator!$B$10="Yes",MIN(MAX(W654,0),'Tax Tables'!$B$27)*'Tax Tables'!$B$28+MIN(MAX(MAX(W654,0)-'Tax Tables'!$B$27,0),'Tax Tables'!$B$29)*'Tax Tables'!$B$30,MIN(MAX(W654,0),'Tax Tables'!$B$23)*'Tax Tables'!$B$24+MIN(MAX(MAX(W654,0)-'Tax Tables'!$B$23,0),'Tax Tables'!$B$25)*'Tax Tables'!$B$26))*1-MIN('Tax Tables'!$B$22*(MAX(W654,0)-IF(Calculator!$B$10="Yes",MIN(MAX(W654,0),'Tax Tables'!$B$27)*'Tax Tables'!$B$28+MIN(MAX(MAX(W654,0)-'Tax Tables'!$B$27,0),'Tax Tables'!$B$29)*'Tax Tables'!$B$30,MIN(MAX(W654,0),'Tax Tables'!$B$23)*'Tax Tables'!$B$24+MIN(MAX(MAX(W654,0)-'Tax Tables'!$B$23,0),'Tax Tables'!$B$25)*'Tax Tables'!$B$26))*Calculator!$B$11,Calculator!$B$12)</f>
        <v>4933.825</v>
      </c>
      <c r="Y654" s="11" t="n">
        <f aca="false">MAX(W654,0)-X654</f>
        <v>58111.175</v>
      </c>
      <c r="Z654" s="11" t="n">
        <f aca="false">MIN(IF(P654&gt;0,Calculator!$B$13,0)+T654+Calculator!$B$14,'Tax Tables'!$B$36)</f>
        <v>20200</v>
      </c>
      <c r="AA654" s="11" t="n">
        <f aca="false">MAX(P654-Z654,0)</f>
        <v>300300</v>
      </c>
      <c r="AB654" s="11" t="n">
        <f aca="false">SUMPRODUCT((AA654&gt;'Tax Tables'!$A$5:$A$17)*(AA654-'Tax Tables'!$A$5:$A$17)*'Tax Tables'!$C$5:$C$17)</f>
        <v>40610</v>
      </c>
      <c r="AC654" s="11" t="n">
        <f aca="false">IF(W654&lt;0,-1E+099,P654-T654-AB654+Y654+(T654+U654)*Calculator!$B$9)</f>
        <v>354321.175</v>
      </c>
    </row>
    <row r="655" customFormat="false" ht="15" hidden="false" customHeight="false" outlineLevel="0" collapsed="false">
      <c r="A655" s="11" t="n">
        <f aca="false">642*$B$3</f>
        <v>321000</v>
      </c>
      <c r="B655" s="11" t="n">
        <f aca="false">0</f>
        <v>0</v>
      </c>
      <c r="C655" s="11" t="n">
        <f aca="false">A655-B655</f>
        <v>321000</v>
      </c>
      <c r="D655" s="11" t="n">
        <f aca="false">IF(Calculator!$B$6="Yes",MIN(B655,'Tax Tables'!$B$31*'Tax Tables'!$B$32),0)</f>
        <v>0</v>
      </c>
      <c r="E655" s="11" t="n">
        <f aca="false">D655*Calculator!$B$7</f>
        <v>0</v>
      </c>
      <c r="F655" s="11" t="n">
        <f aca="false">D655*Calculator!$B$8</f>
        <v>0</v>
      </c>
      <c r="G655" s="11" t="n">
        <f aca="false">IF(B655&gt;0,'Tax Tables'!$B$32*MIN(MAX(B655/'Tax Tables'!$B$32*'Tax Tables'!$B$33,'Tax Tables'!$B$34),'Tax Tables'!$B$35),0)</f>
        <v>0</v>
      </c>
      <c r="H655" s="11" t="n">
        <f aca="false">Calculator!$B$5-A655-F655-G655</f>
        <v>79000</v>
      </c>
      <c r="I655" s="11" t="n">
        <f aca="false">'Tax Tables'!$B$22*(MAX(H655,0)-IF(Calculator!$B$10="Yes",MIN(MAX(H655,0),'Tax Tables'!$B$27)*'Tax Tables'!$B$28+MIN(MAX(MAX(H655,0)-'Tax Tables'!$B$27,0),'Tax Tables'!$B$29)*'Tax Tables'!$B$30,MIN(MAX(H655,0),'Tax Tables'!$B$23)*'Tax Tables'!$B$24+MIN(MAX(MAX(H655,0)-'Tax Tables'!$B$23,0),'Tax Tables'!$B$25)*'Tax Tables'!$B$26))*1-MIN('Tax Tables'!$B$22*(MAX(H655,0)-IF(Calculator!$B$10="Yes",MIN(MAX(H655,0),'Tax Tables'!$B$27)*'Tax Tables'!$B$28+MIN(MAX(MAX(H655,0)-'Tax Tables'!$B$27,0),'Tax Tables'!$B$29)*'Tax Tables'!$B$30,MIN(MAX(H655,0),'Tax Tables'!$B$23)*'Tax Tables'!$B$24+MIN(MAX(MAX(H655,0)-'Tax Tables'!$B$23,0),'Tax Tables'!$B$25)*'Tax Tables'!$B$26))*Calculator!$B$11,Calculator!$B$12)</f>
        <v>6290</v>
      </c>
      <c r="J655" s="11" t="n">
        <f aca="false">MAX(H655,0)-I655</f>
        <v>72710</v>
      </c>
      <c r="K655" s="11" t="n">
        <f aca="false">MIN(IF(A655&gt;0,Calculator!$B$13,0)+E655+Calculator!$B$14,'Tax Tables'!$B$36)</f>
        <v>1000</v>
      </c>
      <c r="L655" s="11" t="n">
        <f aca="false">MAX(A655-K655,0)</f>
        <v>320000</v>
      </c>
      <c r="M655" s="11" t="n">
        <f aca="false">SUMPRODUCT((L655&gt;'Tax Tables'!$A$5:$A$17)*(L655-'Tax Tables'!$A$5:$A$17)*'Tax Tables'!$C$5:$C$17)</f>
        <v>44550</v>
      </c>
      <c r="N655" s="11" t="n">
        <f aca="false">IF(H655&lt;0,-1E+099,A655-E655-M655+J655+(E655+F655)*Calculator!$B$9)</f>
        <v>349160</v>
      </c>
      <c r="O655" s="2"/>
      <c r="P655" s="11" t="n">
        <f aca="false">642*$B$3</f>
        <v>321000</v>
      </c>
      <c r="Q655" s="11" t="n">
        <f aca="false">MIN(P655,'Tax Tables'!$B$31*'Tax Tables'!$B$32)</f>
        <v>96000</v>
      </c>
      <c r="R655" s="11" t="n">
        <f aca="false">P655-Q655</f>
        <v>225000</v>
      </c>
      <c r="S655" s="11" t="n">
        <f aca="false">IF(Calculator!$B$6="Yes",MIN(Q655,'Tax Tables'!$B$31*'Tax Tables'!$B$32),0)</f>
        <v>96000</v>
      </c>
      <c r="T655" s="11" t="n">
        <f aca="false">S655*Calculator!$B$7</f>
        <v>19200</v>
      </c>
      <c r="U655" s="11" t="n">
        <f aca="false">S655*Calculator!$B$8</f>
        <v>16320</v>
      </c>
      <c r="V655" s="11" t="n">
        <f aca="false">IF(Q655&gt;0,'Tax Tables'!$B$32*MIN(MAX(Q655/'Tax Tables'!$B$32*'Tax Tables'!$B$33,'Tax Tables'!$B$34),'Tax Tables'!$B$35),0)</f>
        <v>135</v>
      </c>
      <c r="W655" s="11" t="n">
        <f aca="false">Calculator!$B$5-P655-U655-V655</f>
        <v>62545</v>
      </c>
      <c r="X655" s="11" t="n">
        <f aca="false">'Tax Tables'!$B$22*(MAX(W655,0)-IF(Calculator!$B$10="Yes",MIN(MAX(W655,0),'Tax Tables'!$B$27)*'Tax Tables'!$B$28+MIN(MAX(MAX(W655,0)-'Tax Tables'!$B$27,0),'Tax Tables'!$B$29)*'Tax Tables'!$B$30,MIN(MAX(W655,0),'Tax Tables'!$B$23)*'Tax Tables'!$B$24+MIN(MAX(MAX(W655,0)-'Tax Tables'!$B$23,0),'Tax Tables'!$B$25)*'Tax Tables'!$B$26))*1-MIN('Tax Tables'!$B$22*(MAX(W655,0)-IF(Calculator!$B$10="Yes",MIN(MAX(W655,0),'Tax Tables'!$B$27)*'Tax Tables'!$B$28+MIN(MAX(MAX(W655,0)-'Tax Tables'!$B$27,0),'Tax Tables'!$B$29)*'Tax Tables'!$B$30,MIN(MAX(W655,0),'Tax Tables'!$B$23)*'Tax Tables'!$B$24+MIN(MAX(MAX(W655,0)-'Tax Tables'!$B$23,0),'Tax Tables'!$B$25)*'Tax Tables'!$B$26))*Calculator!$B$11,Calculator!$B$12)</f>
        <v>4891.325</v>
      </c>
      <c r="Y655" s="11" t="n">
        <f aca="false">MAX(W655,0)-X655</f>
        <v>57653.675</v>
      </c>
      <c r="Z655" s="11" t="n">
        <f aca="false">MIN(IF(P655&gt;0,Calculator!$B$13,0)+T655+Calculator!$B$14,'Tax Tables'!$B$36)</f>
        <v>20200</v>
      </c>
      <c r="AA655" s="11" t="n">
        <f aca="false">MAX(P655-Z655,0)</f>
        <v>300800</v>
      </c>
      <c r="AB655" s="11" t="n">
        <f aca="false">SUMPRODUCT((AA655&gt;'Tax Tables'!$A$5:$A$17)*(AA655-'Tax Tables'!$A$5:$A$17)*'Tax Tables'!$C$5:$C$17)</f>
        <v>40710</v>
      </c>
      <c r="AC655" s="11" t="n">
        <f aca="false">IF(W655&lt;0,-1E+099,P655-T655-AB655+Y655+(T655+U655)*Calculator!$B$9)</f>
        <v>354263.675</v>
      </c>
    </row>
    <row r="656" customFormat="false" ht="15" hidden="false" customHeight="false" outlineLevel="0" collapsed="false">
      <c r="A656" s="11" t="n">
        <f aca="false">643*$B$3</f>
        <v>321500</v>
      </c>
      <c r="B656" s="11" t="n">
        <f aca="false">0</f>
        <v>0</v>
      </c>
      <c r="C656" s="11" t="n">
        <f aca="false">A656-B656</f>
        <v>321500</v>
      </c>
      <c r="D656" s="11" t="n">
        <f aca="false">IF(Calculator!$B$6="Yes",MIN(B656,'Tax Tables'!$B$31*'Tax Tables'!$B$32),0)</f>
        <v>0</v>
      </c>
      <c r="E656" s="11" t="n">
        <f aca="false">D656*Calculator!$B$7</f>
        <v>0</v>
      </c>
      <c r="F656" s="11" t="n">
        <f aca="false">D656*Calculator!$B$8</f>
        <v>0</v>
      </c>
      <c r="G656" s="11" t="n">
        <f aca="false">IF(B656&gt;0,'Tax Tables'!$B$32*MIN(MAX(B656/'Tax Tables'!$B$32*'Tax Tables'!$B$33,'Tax Tables'!$B$34),'Tax Tables'!$B$35),0)</f>
        <v>0</v>
      </c>
      <c r="H656" s="11" t="n">
        <f aca="false">Calculator!$B$5-A656-F656-G656</f>
        <v>78500</v>
      </c>
      <c r="I656" s="11" t="n">
        <f aca="false">'Tax Tables'!$B$22*(MAX(H656,0)-IF(Calculator!$B$10="Yes",MIN(MAX(H656,0),'Tax Tables'!$B$27)*'Tax Tables'!$B$28+MIN(MAX(MAX(H656,0)-'Tax Tables'!$B$27,0),'Tax Tables'!$B$29)*'Tax Tables'!$B$30,MIN(MAX(H656,0),'Tax Tables'!$B$23)*'Tax Tables'!$B$24+MIN(MAX(MAX(H656,0)-'Tax Tables'!$B$23,0),'Tax Tables'!$B$25)*'Tax Tables'!$B$26))*1-MIN('Tax Tables'!$B$22*(MAX(H656,0)-IF(Calculator!$B$10="Yes",MIN(MAX(H656,0),'Tax Tables'!$B$27)*'Tax Tables'!$B$28+MIN(MAX(MAX(H656,0)-'Tax Tables'!$B$27,0),'Tax Tables'!$B$29)*'Tax Tables'!$B$30,MIN(MAX(H656,0),'Tax Tables'!$B$23)*'Tax Tables'!$B$24+MIN(MAX(MAX(H656,0)-'Tax Tables'!$B$23,0),'Tax Tables'!$B$25)*'Tax Tables'!$B$26))*Calculator!$B$11,Calculator!$B$12)</f>
        <v>6247.5</v>
      </c>
      <c r="J656" s="11" t="n">
        <f aca="false">MAX(H656,0)-I656</f>
        <v>72252.5</v>
      </c>
      <c r="K656" s="11" t="n">
        <f aca="false">MIN(IF(A656&gt;0,Calculator!$B$13,0)+E656+Calculator!$B$14,'Tax Tables'!$B$36)</f>
        <v>1000</v>
      </c>
      <c r="L656" s="11" t="n">
        <f aca="false">MAX(A656-K656,0)</f>
        <v>320500</v>
      </c>
      <c r="M656" s="11" t="n">
        <f aca="false">SUMPRODUCT((L656&gt;'Tax Tables'!$A$5:$A$17)*(L656-'Tax Tables'!$A$5:$A$17)*'Tax Tables'!$C$5:$C$17)</f>
        <v>44660</v>
      </c>
      <c r="N656" s="11" t="n">
        <f aca="false">IF(H656&lt;0,-1E+099,A656-E656-M656+J656+(E656+F656)*Calculator!$B$9)</f>
        <v>349092.5</v>
      </c>
      <c r="O656" s="2"/>
      <c r="P656" s="11" t="n">
        <f aca="false">643*$B$3</f>
        <v>321500</v>
      </c>
      <c r="Q656" s="11" t="n">
        <f aca="false">MIN(P656,'Tax Tables'!$B$31*'Tax Tables'!$B$32)</f>
        <v>96000</v>
      </c>
      <c r="R656" s="11" t="n">
        <f aca="false">P656-Q656</f>
        <v>225500</v>
      </c>
      <c r="S656" s="11" t="n">
        <f aca="false">IF(Calculator!$B$6="Yes",MIN(Q656,'Tax Tables'!$B$31*'Tax Tables'!$B$32),0)</f>
        <v>96000</v>
      </c>
      <c r="T656" s="11" t="n">
        <f aca="false">S656*Calculator!$B$7</f>
        <v>19200</v>
      </c>
      <c r="U656" s="11" t="n">
        <f aca="false">S656*Calculator!$B$8</f>
        <v>16320</v>
      </c>
      <c r="V656" s="11" t="n">
        <f aca="false">IF(Q656&gt;0,'Tax Tables'!$B$32*MIN(MAX(Q656/'Tax Tables'!$B$32*'Tax Tables'!$B$33,'Tax Tables'!$B$34),'Tax Tables'!$B$35),0)</f>
        <v>135</v>
      </c>
      <c r="W656" s="11" t="n">
        <f aca="false">Calculator!$B$5-P656-U656-V656</f>
        <v>62045</v>
      </c>
      <c r="X656" s="11" t="n">
        <f aca="false">'Tax Tables'!$B$22*(MAX(W656,0)-IF(Calculator!$B$10="Yes",MIN(MAX(W656,0),'Tax Tables'!$B$27)*'Tax Tables'!$B$28+MIN(MAX(MAX(W656,0)-'Tax Tables'!$B$27,0),'Tax Tables'!$B$29)*'Tax Tables'!$B$30,MIN(MAX(W656,0),'Tax Tables'!$B$23)*'Tax Tables'!$B$24+MIN(MAX(MAX(W656,0)-'Tax Tables'!$B$23,0),'Tax Tables'!$B$25)*'Tax Tables'!$B$26))*1-MIN('Tax Tables'!$B$22*(MAX(W656,0)-IF(Calculator!$B$10="Yes",MIN(MAX(W656,0),'Tax Tables'!$B$27)*'Tax Tables'!$B$28+MIN(MAX(MAX(W656,0)-'Tax Tables'!$B$27,0),'Tax Tables'!$B$29)*'Tax Tables'!$B$30,MIN(MAX(W656,0),'Tax Tables'!$B$23)*'Tax Tables'!$B$24+MIN(MAX(MAX(W656,0)-'Tax Tables'!$B$23,0),'Tax Tables'!$B$25)*'Tax Tables'!$B$26))*Calculator!$B$11,Calculator!$B$12)</f>
        <v>4848.825</v>
      </c>
      <c r="Y656" s="11" t="n">
        <f aca="false">MAX(W656,0)-X656</f>
        <v>57196.175</v>
      </c>
      <c r="Z656" s="11" t="n">
        <f aca="false">MIN(IF(P656&gt;0,Calculator!$B$13,0)+T656+Calculator!$B$14,'Tax Tables'!$B$36)</f>
        <v>20200</v>
      </c>
      <c r="AA656" s="11" t="n">
        <f aca="false">MAX(P656-Z656,0)</f>
        <v>301300</v>
      </c>
      <c r="AB656" s="11" t="n">
        <f aca="false">SUMPRODUCT((AA656&gt;'Tax Tables'!$A$5:$A$17)*(AA656-'Tax Tables'!$A$5:$A$17)*'Tax Tables'!$C$5:$C$17)</f>
        <v>40810</v>
      </c>
      <c r="AC656" s="11" t="n">
        <f aca="false">IF(W656&lt;0,-1E+099,P656-T656-AB656+Y656+(T656+U656)*Calculator!$B$9)</f>
        <v>354206.175</v>
      </c>
    </row>
    <row r="657" customFormat="false" ht="15" hidden="false" customHeight="false" outlineLevel="0" collapsed="false">
      <c r="A657" s="11" t="n">
        <f aca="false">644*$B$3</f>
        <v>322000</v>
      </c>
      <c r="B657" s="11" t="n">
        <f aca="false">0</f>
        <v>0</v>
      </c>
      <c r="C657" s="11" t="n">
        <f aca="false">A657-B657</f>
        <v>322000</v>
      </c>
      <c r="D657" s="11" t="n">
        <f aca="false">IF(Calculator!$B$6="Yes",MIN(B657,'Tax Tables'!$B$31*'Tax Tables'!$B$32),0)</f>
        <v>0</v>
      </c>
      <c r="E657" s="11" t="n">
        <f aca="false">D657*Calculator!$B$7</f>
        <v>0</v>
      </c>
      <c r="F657" s="11" t="n">
        <f aca="false">D657*Calculator!$B$8</f>
        <v>0</v>
      </c>
      <c r="G657" s="11" t="n">
        <f aca="false">IF(B657&gt;0,'Tax Tables'!$B$32*MIN(MAX(B657/'Tax Tables'!$B$32*'Tax Tables'!$B$33,'Tax Tables'!$B$34),'Tax Tables'!$B$35),0)</f>
        <v>0</v>
      </c>
      <c r="H657" s="11" t="n">
        <f aca="false">Calculator!$B$5-A657-F657-G657</f>
        <v>78000</v>
      </c>
      <c r="I657" s="11" t="n">
        <f aca="false">'Tax Tables'!$B$22*(MAX(H657,0)-IF(Calculator!$B$10="Yes",MIN(MAX(H657,0),'Tax Tables'!$B$27)*'Tax Tables'!$B$28+MIN(MAX(MAX(H657,0)-'Tax Tables'!$B$27,0),'Tax Tables'!$B$29)*'Tax Tables'!$B$30,MIN(MAX(H657,0),'Tax Tables'!$B$23)*'Tax Tables'!$B$24+MIN(MAX(MAX(H657,0)-'Tax Tables'!$B$23,0),'Tax Tables'!$B$25)*'Tax Tables'!$B$26))*1-MIN('Tax Tables'!$B$22*(MAX(H657,0)-IF(Calculator!$B$10="Yes",MIN(MAX(H657,0),'Tax Tables'!$B$27)*'Tax Tables'!$B$28+MIN(MAX(MAX(H657,0)-'Tax Tables'!$B$27,0),'Tax Tables'!$B$29)*'Tax Tables'!$B$30,MIN(MAX(H657,0),'Tax Tables'!$B$23)*'Tax Tables'!$B$24+MIN(MAX(MAX(H657,0)-'Tax Tables'!$B$23,0),'Tax Tables'!$B$25)*'Tax Tables'!$B$26))*Calculator!$B$11,Calculator!$B$12)</f>
        <v>6205</v>
      </c>
      <c r="J657" s="11" t="n">
        <f aca="false">MAX(H657,0)-I657</f>
        <v>71795</v>
      </c>
      <c r="K657" s="11" t="n">
        <f aca="false">MIN(IF(A657&gt;0,Calculator!$B$13,0)+E657+Calculator!$B$14,'Tax Tables'!$B$36)</f>
        <v>1000</v>
      </c>
      <c r="L657" s="11" t="n">
        <f aca="false">MAX(A657-K657,0)</f>
        <v>321000</v>
      </c>
      <c r="M657" s="11" t="n">
        <f aca="false">SUMPRODUCT((L657&gt;'Tax Tables'!$A$5:$A$17)*(L657-'Tax Tables'!$A$5:$A$17)*'Tax Tables'!$C$5:$C$17)</f>
        <v>44770</v>
      </c>
      <c r="N657" s="11" t="n">
        <f aca="false">IF(H657&lt;0,-1E+099,A657-E657-M657+J657+(E657+F657)*Calculator!$B$9)</f>
        <v>349025</v>
      </c>
      <c r="O657" s="2"/>
      <c r="P657" s="11" t="n">
        <f aca="false">644*$B$3</f>
        <v>322000</v>
      </c>
      <c r="Q657" s="11" t="n">
        <f aca="false">MIN(P657,'Tax Tables'!$B$31*'Tax Tables'!$B$32)</f>
        <v>96000</v>
      </c>
      <c r="R657" s="11" t="n">
        <f aca="false">P657-Q657</f>
        <v>226000</v>
      </c>
      <c r="S657" s="11" t="n">
        <f aca="false">IF(Calculator!$B$6="Yes",MIN(Q657,'Tax Tables'!$B$31*'Tax Tables'!$B$32),0)</f>
        <v>96000</v>
      </c>
      <c r="T657" s="11" t="n">
        <f aca="false">S657*Calculator!$B$7</f>
        <v>19200</v>
      </c>
      <c r="U657" s="11" t="n">
        <f aca="false">S657*Calculator!$B$8</f>
        <v>16320</v>
      </c>
      <c r="V657" s="11" t="n">
        <f aca="false">IF(Q657&gt;0,'Tax Tables'!$B$32*MIN(MAX(Q657/'Tax Tables'!$B$32*'Tax Tables'!$B$33,'Tax Tables'!$B$34),'Tax Tables'!$B$35),0)</f>
        <v>135</v>
      </c>
      <c r="W657" s="11" t="n">
        <f aca="false">Calculator!$B$5-P657-U657-V657</f>
        <v>61545</v>
      </c>
      <c r="X657" s="11" t="n">
        <f aca="false">'Tax Tables'!$B$22*(MAX(W657,0)-IF(Calculator!$B$10="Yes",MIN(MAX(W657,0),'Tax Tables'!$B$27)*'Tax Tables'!$B$28+MIN(MAX(MAX(W657,0)-'Tax Tables'!$B$27,0),'Tax Tables'!$B$29)*'Tax Tables'!$B$30,MIN(MAX(W657,0),'Tax Tables'!$B$23)*'Tax Tables'!$B$24+MIN(MAX(MAX(W657,0)-'Tax Tables'!$B$23,0),'Tax Tables'!$B$25)*'Tax Tables'!$B$26))*1-MIN('Tax Tables'!$B$22*(MAX(W657,0)-IF(Calculator!$B$10="Yes",MIN(MAX(W657,0),'Tax Tables'!$B$27)*'Tax Tables'!$B$28+MIN(MAX(MAX(W657,0)-'Tax Tables'!$B$27,0),'Tax Tables'!$B$29)*'Tax Tables'!$B$30,MIN(MAX(W657,0),'Tax Tables'!$B$23)*'Tax Tables'!$B$24+MIN(MAX(MAX(W657,0)-'Tax Tables'!$B$23,0),'Tax Tables'!$B$25)*'Tax Tables'!$B$26))*Calculator!$B$11,Calculator!$B$12)</f>
        <v>4806.325</v>
      </c>
      <c r="Y657" s="11" t="n">
        <f aca="false">MAX(W657,0)-X657</f>
        <v>56738.675</v>
      </c>
      <c r="Z657" s="11" t="n">
        <f aca="false">MIN(IF(P657&gt;0,Calculator!$B$13,0)+T657+Calculator!$B$14,'Tax Tables'!$B$36)</f>
        <v>20200</v>
      </c>
      <c r="AA657" s="11" t="n">
        <f aca="false">MAX(P657-Z657,0)</f>
        <v>301800</v>
      </c>
      <c r="AB657" s="11" t="n">
        <f aca="false">SUMPRODUCT((AA657&gt;'Tax Tables'!$A$5:$A$17)*(AA657-'Tax Tables'!$A$5:$A$17)*'Tax Tables'!$C$5:$C$17)</f>
        <v>40910</v>
      </c>
      <c r="AC657" s="11" t="n">
        <f aca="false">IF(W657&lt;0,-1E+099,P657-T657-AB657+Y657+(T657+U657)*Calculator!$B$9)</f>
        <v>354148.675</v>
      </c>
    </row>
    <row r="658" customFormat="false" ht="15" hidden="false" customHeight="false" outlineLevel="0" collapsed="false">
      <c r="A658" s="11" t="n">
        <f aca="false">645*$B$3</f>
        <v>322500</v>
      </c>
      <c r="B658" s="11" t="n">
        <f aca="false">0</f>
        <v>0</v>
      </c>
      <c r="C658" s="11" t="n">
        <f aca="false">A658-B658</f>
        <v>322500</v>
      </c>
      <c r="D658" s="11" t="n">
        <f aca="false">IF(Calculator!$B$6="Yes",MIN(B658,'Tax Tables'!$B$31*'Tax Tables'!$B$32),0)</f>
        <v>0</v>
      </c>
      <c r="E658" s="11" t="n">
        <f aca="false">D658*Calculator!$B$7</f>
        <v>0</v>
      </c>
      <c r="F658" s="11" t="n">
        <f aca="false">D658*Calculator!$B$8</f>
        <v>0</v>
      </c>
      <c r="G658" s="11" t="n">
        <f aca="false">IF(B658&gt;0,'Tax Tables'!$B$32*MIN(MAX(B658/'Tax Tables'!$B$32*'Tax Tables'!$B$33,'Tax Tables'!$B$34),'Tax Tables'!$B$35),0)</f>
        <v>0</v>
      </c>
      <c r="H658" s="11" t="n">
        <f aca="false">Calculator!$B$5-A658-F658-G658</f>
        <v>77500</v>
      </c>
      <c r="I658" s="11" t="n">
        <f aca="false">'Tax Tables'!$B$22*(MAX(H658,0)-IF(Calculator!$B$10="Yes",MIN(MAX(H658,0),'Tax Tables'!$B$27)*'Tax Tables'!$B$28+MIN(MAX(MAX(H658,0)-'Tax Tables'!$B$27,0),'Tax Tables'!$B$29)*'Tax Tables'!$B$30,MIN(MAX(H658,0),'Tax Tables'!$B$23)*'Tax Tables'!$B$24+MIN(MAX(MAX(H658,0)-'Tax Tables'!$B$23,0),'Tax Tables'!$B$25)*'Tax Tables'!$B$26))*1-MIN('Tax Tables'!$B$22*(MAX(H658,0)-IF(Calculator!$B$10="Yes",MIN(MAX(H658,0),'Tax Tables'!$B$27)*'Tax Tables'!$B$28+MIN(MAX(MAX(H658,0)-'Tax Tables'!$B$27,0),'Tax Tables'!$B$29)*'Tax Tables'!$B$30,MIN(MAX(H658,0),'Tax Tables'!$B$23)*'Tax Tables'!$B$24+MIN(MAX(MAX(H658,0)-'Tax Tables'!$B$23,0),'Tax Tables'!$B$25)*'Tax Tables'!$B$26))*Calculator!$B$11,Calculator!$B$12)</f>
        <v>6162.5</v>
      </c>
      <c r="J658" s="11" t="n">
        <f aca="false">MAX(H658,0)-I658</f>
        <v>71337.5</v>
      </c>
      <c r="K658" s="11" t="n">
        <f aca="false">MIN(IF(A658&gt;0,Calculator!$B$13,0)+E658+Calculator!$B$14,'Tax Tables'!$B$36)</f>
        <v>1000</v>
      </c>
      <c r="L658" s="11" t="n">
        <f aca="false">MAX(A658-K658,0)</f>
        <v>321500</v>
      </c>
      <c r="M658" s="11" t="n">
        <f aca="false">SUMPRODUCT((L658&gt;'Tax Tables'!$A$5:$A$17)*(L658-'Tax Tables'!$A$5:$A$17)*'Tax Tables'!$C$5:$C$17)</f>
        <v>44880</v>
      </c>
      <c r="N658" s="11" t="n">
        <f aca="false">IF(H658&lt;0,-1E+099,A658-E658-M658+J658+(E658+F658)*Calculator!$B$9)</f>
        <v>348957.5</v>
      </c>
      <c r="O658" s="2"/>
      <c r="P658" s="11" t="n">
        <f aca="false">645*$B$3</f>
        <v>322500</v>
      </c>
      <c r="Q658" s="11" t="n">
        <f aca="false">MIN(P658,'Tax Tables'!$B$31*'Tax Tables'!$B$32)</f>
        <v>96000</v>
      </c>
      <c r="R658" s="11" t="n">
        <f aca="false">P658-Q658</f>
        <v>226500</v>
      </c>
      <c r="S658" s="11" t="n">
        <f aca="false">IF(Calculator!$B$6="Yes",MIN(Q658,'Tax Tables'!$B$31*'Tax Tables'!$B$32),0)</f>
        <v>96000</v>
      </c>
      <c r="T658" s="11" t="n">
        <f aca="false">S658*Calculator!$B$7</f>
        <v>19200</v>
      </c>
      <c r="U658" s="11" t="n">
        <f aca="false">S658*Calculator!$B$8</f>
        <v>16320</v>
      </c>
      <c r="V658" s="11" t="n">
        <f aca="false">IF(Q658&gt;0,'Tax Tables'!$B$32*MIN(MAX(Q658/'Tax Tables'!$B$32*'Tax Tables'!$B$33,'Tax Tables'!$B$34),'Tax Tables'!$B$35),0)</f>
        <v>135</v>
      </c>
      <c r="W658" s="11" t="n">
        <f aca="false">Calculator!$B$5-P658-U658-V658</f>
        <v>61045</v>
      </c>
      <c r="X658" s="11" t="n">
        <f aca="false">'Tax Tables'!$B$22*(MAX(W658,0)-IF(Calculator!$B$10="Yes",MIN(MAX(W658,0),'Tax Tables'!$B$27)*'Tax Tables'!$B$28+MIN(MAX(MAX(W658,0)-'Tax Tables'!$B$27,0),'Tax Tables'!$B$29)*'Tax Tables'!$B$30,MIN(MAX(W658,0),'Tax Tables'!$B$23)*'Tax Tables'!$B$24+MIN(MAX(MAX(W658,0)-'Tax Tables'!$B$23,0),'Tax Tables'!$B$25)*'Tax Tables'!$B$26))*1-MIN('Tax Tables'!$B$22*(MAX(W658,0)-IF(Calculator!$B$10="Yes",MIN(MAX(W658,0),'Tax Tables'!$B$27)*'Tax Tables'!$B$28+MIN(MAX(MAX(W658,0)-'Tax Tables'!$B$27,0),'Tax Tables'!$B$29)*'Tax Tables'!$B$30,MIN(MAX(W658,0),'Tax Tables'!$B$23)*'Tax Tables'!$B$24+MIN(MAX(MAX(W658,0)-'Tax Tables'!$B$23,0),'Tax Tables'!$B$25)*'Tax Tables'!$B$26))*Calculator!$B$11,Calculator!$B$12)</f>
        <v>4763.825</v>
      </c>
      <c r="Y658" s="11" t="n">
        <f aca="false">MAX(W658,0)-X658</f>
        <v>56281.175</v>
      </c>
      <c r="Z658" s="11" t="n">
        <f aca="false">MIN(IF(P658&gt;0,Calculator!$B$13,0)+T658+Calculator!$B$14,'Tax Tables'!$B$36)</f>
        <v>20200</v>
      </c>
      <c r="AA658" s="11" t="n">
        <f aca="false">MAX(P658-Z658,0)</f>
        <v>302300</v>
      </c>
      <c r="AB658" s="11" t="n">
        <f aca="false">SUMPRODUCT((AA658&gt;'Tax Tables'!$A$5:$A$17)*(AA658-'Tax Tables'!$A$5:$A$17)*'Tax Tables'!$C$5:$C$17)</f>
        <v>41010</v>
      </c>
      <c r="AC658" s="11" t="n">
        <f aca="false">IF(W658&lt;0,-1E+099,P658-T658-AB658+Y658+(T658+U658)*Calculator!$B$9)</f>
        <v>354091.175</v>
      </c>
    </row>
    <row r="659" customFormat="false" ht="15" hidden="false" customHeight="false" outlineLevel="0" collapsed="false">
      <c r="A659" s="11" t="n">
        <f aca="false">646*$B$3</f>
        <v>323000</v>
      </c>
      <c r="B659" s="11" t="n">
        <f aca="false">0</f>
        <v>0</v>
      </c>
      <c r="C659" s="11" t="n">
        <f aca="false">A659-B659</f>
        <v>323000</v>
      </c>
      <c r="D659" s="11" t="n">
        <f aca="false">IF(Calculator!$B$6="Yes",MIN(B659,'Tax Tables'!$B$31*'Tax Tables'!$B$32),0)</f>
        <v>0</v>
      </c>
      <c r="E659" s="11" t="n">
        <f aca="false">D659*Calculator!$B$7</f>
        <v>0</v>
      </c>
      <c r="F659" s="11" t="n">
        <f aca="false">D659*Calculator!$B$8</f>
        <v>0</v>
      </c>
      <c r="G659" s="11" t="n">
        <f aca="false">IF(B659&gt;0,'Tax Tables'!$B$32*MIN(MAX(B659/'Tax Tables'!$B$32*'Tax Tables'!$B$33,'Tax Tables'!$B$34),'Tax Tables'!$B$35),0)</f>
        <v>0</v>
      </c>
      <c r="H659" s="11" t="n">
        <f aca="false">Calculator!$B$5-A659-F659-G659</f>
        <v>77000</v>
      </c>
      <c r="I659" s="11" t="n">
        <f aca="false">'Tax Tables'!$B$22*(MAX(H659,0)-IF(Calculator!$B$10="Yes",MIN(MAX(H659,0),'Tax Tables'!$B$27)*'Tax Tables'!$B$28+MIN(MAX(MAX(H659,0)-'Tax Tables'!$B$27,0),'Tax Tables'!$B$29)*'Tax Tables'!$B$30,MIN(MAX(H659,0),'Tax Tables'!$B$23)*'Tax Tables'!$B$24+MIN(MAX(MAX(H659,0)-'Tax Tables'!$B$23,0),'Tax Tables'!$B$25)*'Tax Tables'!$B$26))*1-MIN('Tax Tables'!$B$22*(MAX(H659,0)-IF(Calculator!$B$10="Yes",MIN(MAX(H659,0),'Tax Tables'!$B$27)*'Tax Tables'!$B$28+MIN(MAX(MAX(H659,0)-'Tax Tables'!$B$27,0),'Tax Tables'!$B$29)*'Tax Tables'!$B$30,MIN(MAX(H659,0),'Tax Tables'!$B$23)*'Tax Tables'!$B$24+MIN(MAX(MAX(H659,0)-'Tax Tables'!$B$23,0),'Tax Tables'!$B$25)*'Tax Tables'!$B$26))*Calculator!$B$11,Calculator!$B$12)</f>
        <v>6120</v>
      </c>
      <c r="J659" s="11" t="n">
        <f aca="false">MAX(H659,0)-I659</f>
        <v>70880</v>
      </c>
      <c r="K659" s="11" t="n">
        <f aca="false">MIN(IF(A659&gt;0,Calculator!$B$13,0)+E659+Calculator!$B$14,'Tax Tables'!$B$36)</f>
        <v>1000</v>
      </c>
      <c r="L659" s="11" t="n">
        <f aca="false">MAX(A659-K659,0)</f>
        <v>322000</v>
      </c>
      <c r="M659" s="11" t="n">
        <f aca="false">SUMPRODUCT((L659&gt;'Tax Tables'!$A$5:$A$17)*(L659-'Tax Tables'!$A$5:$A$17)*'Tax Tables'!$C$5:$C$17)</f>
        <v>44990</v>
      </c>
      <c r="N659" s="11" t="n">
        <f aca="false">IF(H659&lt;0,-1E+099,A659-E659-M659+J659+(E659+F659)*Calculator!$B$9)</f>
        <v>348890</v>
      </c>
      <c r="O659" s="2"/>
      <c r="P659" s="11" t="n">
        <f aca="false">646*$B$3</f>
        <v>323000</v>
      </c>
      <c r="Q659" s="11" t="n">
        <f aca="false">MIN(P659,'Tax Tables'!$B$31*'Tax Tables'!$B$32)</f>
        <v>96000</v>
      </c>
      <c r="R659" s="11" t="n">
        <f aca="false">P659-Q659</f>
        <v>227000</v>
      </c>
      <c r="S659" s="11" t="n">
        <f aca="false">IF(Calculator!$B$6="Yes",MIN(Q659,'Tax Tables'!$B$31*'Tax Tables'!$B$32),0)</f>
        <v>96000</v>
      </c>
      <c r="T659" s="11" t="n">
        <f aca="false">S659*Calculator!$B$7</f>
        <v>19200</v>
      </c>
      <c r="U659" s="11" t="n">
        <f aca="false">S659*Calculator!$B$8</f>
        <v>16320</v>
      </c>
      <c r="V659" s="11" t="n">
        <f aca="false">IF(Q659&gt;0,'Tax Tables'!$B$32*MIN(MAX(Q659/'Tax Tables'!$B$32*'Tax Tables'!$B$33,'Tax Tables'!$B$34),'Tax Tables'!$B$35),0)</f>
        <v>135</v>
      </c>
      <c r="W659" s="11" t="n">
        <f aca="false">Calculator!$B$5-P659-U659-V659</f>
        <v>60545</v>
      </c>
      <c r="X659" s="11" t="n">
        <f aca="false">'Tax Tables'!$B$22*(MAX(W659,0)-IF(Calculator!$B$10="Yes",MIN(MAX(W659,0),'Tax Tables'!$B$27)*'Tax Tables'!$B$28+MIN(MAX(MAX(W659,0)-'Tax Tables'!$B$27,0),'Tax Tables'!$B$29)*'Tax Tables'!$B$30,MIN(MAX(W659,0),'Tax Tables'!$B$23)*'Tax Tables'!$B$24+MIN(MAX(MAX(W659,0)-'Tax Tables'!$B$23,0),'Tax Tables'!$B$25)*'Tax Tables'!$B$26))*1-MIN('Tax Tables'!$B$22*(MAX(W659,0)-IF(Calculator!$B$10="Yes",MIN(MAX(W659,0),'Tax Tables'!$B$27)*'Tax Tables'!$B$28+MIN(MAX(MAX(W659,0)-'Tax Tables'!$B$27,0),'Tax Tables'!$B$29)*'Tax Tables'!$B$30,MIN(MAX(W659,0),'Tax Tables'!$B$23)*'Tax Tables'!$B$24+MIN(MAX(MAX(W659,0)-'Tax Tables'!$B$23,0),'Tax Tables'!$B$25)*'Tax Tables'!$B$26))*Calculator!$B$11,Calculator!$B$12)</f>
        <v>4721.325</v>
      </c>
      <c r="Y659" s="11" t="n">
        <f aca="false">MAX(W659,0)-X659</f>
        <v>55823.675</v>
      </c>
      <c r="Z659" s="11" t="n">
        <f aca="false">MIN(IF(P659&gt;0,Calculator!$B$13,0)+T659+Calculator!$B$14,'Tax Tables'!$B$36)</f>
        <v>20200</v>
      </c>
      <c r="AA659" s="11" t="n">
        <f aca="false">MAX(P659-Z659,0)</f>
        <v>302800</v>
      </c>
      <c r="AB659" s="11" t="n">
        <f aca="false">SUMPRODUCT((AA659&gt;'Tax Tables'!$A$5:$A$17)*(AA659-'Tax Tables'!$A$5:$A$17)*'Tax Tables'!$C$5:$C$17)</f>
        <v>41110</v>
      </c>
      <c r="AC659" s="11" t="n">
        <f aca="false">IF(W659&lt;0,-1E+099,P659-T659-AB659+Y659+(T659+U659)*Calculator!$B$9)</f>
        <v>354033.675</v>
      </c>
    </row>
    <row r="660" customFormat="false" ht="15" hidden="false" customHeight="false" outlineLevel="0" collapsed="false">
      <c r="A660" s="11" t="n">
        <f aca="false">647*$B$3</f>
        <v>323500</v>
      </c>
      <c r="B660" s="11" t="n">
        <f aca="false">0</f>
        <v>0</v>
      </c>
      <c r="C660" s="11" t="n">
        <f aca="false">A660-B660</f>
        <v>323500</v>
      </c>
      <c r="D660" s="11" t="n">
        <f aca="false">IF(Calculator!$B$6="Yes",MIN(B660,'Tax Tables'!$B$31*'Tax Tables'!$B$32),0)</f>
        <v>0</v>
      </c>
      <c r="E660" s="11" t="n">
        <f aca="false">D660*Calculator!$B$7</f>
        <v>0</v>
      </c>
      <c r="F660" s="11" t="n">
        <f aca="false">D660*Calculator!$B$8</f>
        <v>0</v>
      </c>
      <c r="G660" s="11" t="n">
        <f aca="false">IF(B660&gt;0,'Tax Tables'!$B$32*MIN(MAX(B660/'Tax Tables'!$B$32*'Tax Tables'!$B$33,'Tax Tables'!$B$34),'Tax Tables'!$B$35),0)</f>
        <v>0</v>
      </c>
      <c r="H660" s="11" t="n">
        <f aca="false">Calculator!$B$5-A660-F660-G660</f>
        <v>76500</v>
      </c>
      <c r="I660" s="11" t="n">
        <f aca="false">'Tax Tables'!$B$22*(MAX(H660,0)-IF(Calculator!$B$10="Yes",MIN(MAX(H660,0),'Tax Tables'!$B$27)*'Tax Tables'!$B$28+MIN(MAX(MAX(H660,0)-'Tax Tables'!$B$27,0),'Tax Tables'!$B$29)*'Tax Tables'!$B$30,MIN(MAX(H660,0),'Tax Tables'!$B$23)*'Tax Tables'!$B$24+MIN(MAX(MAX(H660,0)-'Tax Tables'!$B$23,0),'Tax Tables'!$B$25)*'Tax Tables'!$B$26))*1-MIN('Tax Tables'!$B$22*(MAX(H660,0)-IF(Calculator!$B$10="Yes",MIN(MAX(H660,0),'Tax Tables'!$B$27)*'Tax Tables'!$B$28+MIN(MAX(MAX(H660,0)-'Tax Tables'!$B$27,0),'Tax Tables'!$B$29)*'Tax Tables'!$B$30,MIN(MAX(H660,0),'Tax Tables'!$B$23)*'Tax Tables'!$B$24+MIN(MAX(MAX(H660,0)-'Tax Tables'!$B$23,0),'Tax Tables'!$B$25)*'Tax Tables'!$B$26))*Calculator!$B$11,Calculator!$B$12)</f>
        <v>6077.5</v>
      </c>
      <c r="J660" s="11" t="n">
        <f aca="false">MAX(H660,0)-I660</f>
        <v>70422.5</v>
      </c>
      <c r="K660" s="11" t="n">
        <f aca="false">MIN(IF(A660&gt;0,Calculator!$B$13,0)+E660+Calculator!$B$14,'Tax Tables'!$B$36)</f>
        <v>1000</v>
      </c>
      <c r="L660" s="11" t="n">
        <f aca="false">MAX(A660-K660,0)</f>
        <v>322500</v>
      </c>
      <c r="M660" s="11" t="n">
        <f aca="false">SUMPRODUCT((L660&gt;'Tax Tables'!$A$5:$A$17)*(L660-'Tax Tables'!$A$5:$A$17)*'Tax Tables'!$C$5:$C$17)</f>
        <v>45100</v>
      </c>
      <c r="N660" s="11" t="n">
        <f aca="false">IF(H660&lt;0,-1E+099,A660-E660-M660+J660+(E660+F660)*Calculator!$B$9)</f>
        <v>348822.5</v>
      </c>
      <c r="O660" s="2"/>
      <c r="P660" s="11" t="n">
        <f aca="false">647*$B$3</f>
        <v>323500</v>
      </c>
      <c r="Q660" s="11" t="n">
        <f aca="false">MIN(P660,'Tax Tables'!$B$31*'Tax Tables'!$B$32)</f>
        <v>96000</v>
      </c>
      <c r="R660" s="11" t="n">
        <f aca="false">P660-Q660</f>
        <v>227500</v>
      </c>
      <c r="S660" s="11" t="n">
        <f aca="false">IF(Calculator!$B$6="Yes",MIN(Q660,'Tax Tables'!$B$31*'Tax Tables'!$B$32),0)</f>
        <v>96000</v>
      </c>
      <c r="T660" s="11" t="n">
        <f aca="false">S660*Calculator!$B$7</f>
        <v>19200</v>
      </c>
      <c r="U660" s="11" t="n">
        <f aca="false">S660*Calculator!$B$8</f>
        <v>16320</v>
      </c>
      <c r="V660" s="11" t="n">
        <f aca="false">IF(Q660&gt;0,'Tax Tables'!$B$32*MIN(MAX(Q660/'Tax Tables'!$B$32*'Tax Tables'!$B$33,'Tax Tables'!$B$34),'Tax Tables'!$B$35),0)</f>
        <v>135</v>
      </c>
      <c r="W660" s="11" t="n">
        <f aca="false">Calculator!$B$5-P660-U660-V660</f>
        <v>60045</v>
      </c>
      <c r="X660" s="11" t="n">
        <f aca="false">'Tax Tables'!$B$22*(MAX(W660,0)-IF(Calculator!$B$10="Yes",MIN(MAX(W660,0),'Tax Tables'!$B$27)*'Tax Tables'!$B$28+MIN(MAX(MAX(W660,0)-'Tax Tables'!$B$27,0),'Tax Tables'!$B$29)*'Tax Tables'!$B$30,MIN(MAX(W660,0),'Tax Tables'!$B$23)*'Tax Tables'!$B$24+MIN(MAX(MAX(W660,0)-'Tax Tables'!$B$23,0),'Tax Tables'!$B$25)*'Tax Tables'!$B$26))*1-MIN('Tax Tables'!$B$22*(MAX(W660,0)-IF(Calculator!$B$10="Yes",MIN(MAX(W660,0),'Tax Tables'!$B$27)*'Tax Tables'!$B$28+MIN(MAX(MAX(W660,0)-'Tax Tables'!$B$27,0),'Tax Tables'!$B$29)*'Tax Tables'!$B$30,MIN(MAX(W660,0),'Tax Tables'!$B$23)*'Tax Tables'!$B$24+MIN(MAX(MAX(W660,0)-'Tax Tables'!$B$23,0),'Tax Tables'!$B$25)*'Tax Tables'!$B$26))*Calculator!$B$11,Calculator!$B$12)</f>
        <v>4678.825</v>
      </c>
      <c r="Y660" s="11" t="n">
        <f aca="false">MAX(W660,0)-X660</f>
        <v>55366.175</v>
      </c>
      <c r="Z660" s="11" t="n">
        <f aca="false">MIN(IF(P660&gt;0,Calculator!$B$13,0)+T660+Calculator!$B$14,'Tax Tables'!$B$36)</f>
        <v>20200</v>
      </c>
      <c r="AA660" s="11" t="n">
        <f aca="false">MAX(P660-Z660,0)</f>
        <v>303300</v>
      </c>
      <c r="AB660" s="11" t="n">
        <f aca="false">SUMPRODUCT((AA660&gt;'Tax Tables'!$A$5:$A$17)*(AA660-'Tax Tables'!$A$5:$A$17)*'Tax Tables'!$C$5:$C$17)</f>
        <v>41210</v>
      </c>
      <c r="AC660" s="11" t="n">
        <f aca="false">IF(W660&lt;0,-1E+099,P660-T660-AB660+Y660+(T660+U660)*Calculator!$B$9)</f>
        <v>353976.175</v>
      </c>
    </row>
    <row r="661" customFormat="false" ht="15" hidden="false" customHeight="false" outlineLevel="0" collapsed="false">
      <c r="A661" s="11" t="n">
        <f aca="false">648*$B$3</f>
        <v>324000</v>
      </c>
      <c r="B661" s="11" t="n">
        <f aca="false">0</f>
        <v>0</v>
      </c>
      <c r="C661" s="11" t="n">
        <f aca="false">A661-B661</f>
        <v>324000</v>
      </c>
      <c r="D661" s="11" t="n">
        <f aca="false">IF(Calculator!$B$6="Yes",MIN(B661,'Tax Tables'!$B$31*'Tax Tables'!$B$32),0)</f>
        <v>0</v>
      </c>
      <c r="E661" s="11" t="n">
        <f aca="false">D661*Calculator!$B$7</f>
        <v>0</v>
      </c>
      <c r="F661" s="11" t="n">
        <f aca="false">D661*Calculator!$B$8</f>
        <v>0</v>
      </c>
      <c r="G661" s="11" t="n">
        <f aca="false">IF(B661&gt;0,'Tax Tables'!$B$32*MIN(MAX(B661/'Tax Tables'!$B$32*'Tax Tables'!$B$33,'Tax Tables'!$B$34),'Tax Tables'!$B$35),0)</f>
        <v>0</v>
      </c>
      <c r="H661" s="11" t="n">
        <f aca="false">Calculator!$B$5-A661-F661-G661</f>
        <v>76000</v>
      </c>
      <c r="I661" s="11" t="n">
        <f aca="false">'Tax Tables'!$B$22*(MAX(H661,0)-IF(Calculator!$B$10="Yes",MIN(MAX(H661,0),'Tax Tables'!$B$27)*'Tax Tables'!$B$28+MIN(MAX(MAX(H661,0)-'Tax Tables'!$B$27,0),'Tax Tables'!$B$29)*'Tax Tables'!$B$30,MIN(MAX(H661,0),'Tax Tables'!$B$23)*'Tax Tables'!$B$24+MIN(MAX(MAX(H661,0)-'Tax Tables'!$B$23,0),'Tax Tables'!$B$25)*'Tax Tables'!$B$26))*1-MIN('Tax Tables'!$B$22*(MAX(H661,0)-IF(Calculator!$B$10="Yes",MIN(MAX(H661,0),'Tax Tables'!$B$27)*'Tax Tables'!$B$28+MIN(MAX(MAX(H661,0)-'Tax Tables'!$B$27,0),'Tax Tables'!$B$29)*'Tax Tables'!$B$30,MIN(MAX(H661,0),'Tax Tables'!$B$23)*'Tax Tables'!$B$24+MIN(MAX(MAX(H661,0)-'Tax Tables'!$B$23,0),'Tax Tables'!$B$25)*'Tax Tables'!$B$26))*Calculator!$B$11,Calculator!$B$12)</f>
        <v>6035</v>
      </c>
      <c r="J661" s="11" t="n">
        <f aca="false">MAX(H661,0)-I661</f>
        <v>69965</v>
      </c>
      <c r="K661" s="11" t="n">
        <f aca="false">MIN(IF(A661&gt;0,Calculator!$B$13,0)+E661+Calculator!$B$14,'Tax Tables'!$B$36)</f>
        <v>1000</v>
      </c>
      <c r="L661" s="11" t="n">
        <f aca="false">MAX(A661-K661,0)</f>
        <v>323000</v>
      </c>
      <c r="M661" s="11" t="n">
        <f aca="false">SUMPRODUCT((L661&gt;'Tax Tables'!$A$5:$A$17)*(L661-'Tax Tables'!$A$5:$A$17)*'Tax Tables'!$C$5:$C$17)</f>
        <v>45210</v>
      </c>
      <c r="N661" s="11" t="n">
        <f aca="false">IF(H661&lt;0,-1E+099,A661-E661-M661+J661+(E661+F661)*Calculator!$B$9)</f>
        <v>348755</v>
      </c>
      <c r="O661" s="2"/>
      <c r="P661" s="11" t="n">
        <f aca="false">648*$B$3</f>
        <v>324000</v>
      </c>
      <c r="Q661" s="11" t="n">
        <f aca="false">MIN(P661,'Tax Tables'!$B$31*'Tax Tables'!$B$32)</f>
        <v>96000</v>
      </c>
      <c r="R661" s="11" t="n">
        <f aca="false">P661-Q661</f>
        <v>228000</v>
      </c>
      <c r="S661" s="11" t="n">
        <f aca="false">IF(Calculator!$B$6="Yes",MIN(Q661,'Tax Tables'!$B$31*'Tax Tables'!$B$32),0)</f>
        <v>96000</v>
      </c>
      <c r="T661" s="11" t="n">
        <f aca="false">S661*Calculator!$B$7</f>
        <v>19200</v>
      </c>
      <c r="U661" s="11" t="n">
        <f aca="false">S661*Calculator!$B$8</f>
        <v>16320</v>
      </c>
      <c r="V661" s="11" t="n">
        <f aca="false">IF(Q661&gt;0,'Tax Tables'!$B$32*MIN(MAX(Q661/'Tax Tables'!$B$32*'Tax Tables'!$B$33,'Tax Tables'!$B$34),'Tax Tables'!$B$35),0)</f>
        <v>135</v>
      </c>
      <c r="W661" s="11" t="n">
        <f aca="false">Calculator!$B$5-P661-U661-V661</f>
        <v>59545</v>
      </c>
      <c r="X661" s="11" t="n">
        <f aca="false">'Tax Tables'!$B$22*(MAX(W661,0)-IF(Calculator!$B$10="Yes",MIN(MAX(W661,0),'Tax Tables'!$B$27)*'Tax Tables'!$B$28+MIN(MAX(MAX(W661,0)-'Tax Tables'!$B$27,0),'Tax Tables'!$B$29)*'Tax Tables'!$B$30,MIN(MAX(W661,0),'Tax Tables'!$B$23)*'Tax Tables'!$B$24+MIN(MAX(MAX(W661,0)-'Tax Tables'!$B$23,0),'Tax Tables'!$B$25)*'Tax Tables'!$B$26))*1-MIN('Tax Tables'!$B$22*(MAX(W661,0)-IF(Calculator!$B$10="Yes",MIN(MAX(W661,0),'Tax Tables'!$B$27)*'Tax Tables'!$B$28+MIN(MAX(MAX(W661,0)-'Tax Tables'!$B$27,0),'Tax Tables'!$B$29)*'Tax Tables'!$B$30,MIN(MAX(W661,0),'Tax Tables'!$B$23)*'Tax Tables'!$B$24+MIN(MAX(MAX(W661,0)-'Tax Tables'!$B$23,0),'Tax Tables'!$B$25)*'Tax Tables'!$B$26))*Calculator!$B$11,Calculator!$B$12)</f>
        <v>4636.325</v>
      </c>
      <c r="Y661" s="11" t="n">
        <f aca="false">MAX(W661,0)-X661</f>
        <v>54908.675</v>
      </c>
      <c r="Z661" s="11" t="n">
        <f aca="false">MIN(IF(P661&gt;0,Calculator!$B$13,0)+T661+Calculator!$B$14,'Tax Tables'!$B$36)</f>
        <v>20200</v>
      </c>
      <c r="AA661" s="11" t="n">
        <f aca="false">MAX(P661-Z661,0)</f>
        <v>303800</v>
      </c>
      <c r="AB661" s="11" t="n">
        <f aca="false">SUMPRODUCT((AA661&gt;'Tax Tables'!$A$5:$A$17)*(AA661-'Tax Tables'!$A$5:$A$17)*'Tax Tables'!$C$5:$C$17)</f>
        <v>41310</v>
      </c>
      <c r="AC661" s="11" t="n">
        <f aca="false">IF(W661&lt;0,-1E+099,P661-T661-AB661+Y661+(T661+U661)*Calculator!$B$9)</f>
        <v>353918.675</v>
      </c>
    </row>
    <row r="662" customFormat="false" ht="15" hidden="false" customHeight="false" outlineLevel="0" collapsed="false">
      <c r="A662" s="11" t="n">
        <f aca="false">649*$B$3</f>
        <v>324500</v>
      </c>
      <c r="B662" s="11" t="n">
        <f aca="false">0</f>
        <v>0</v>
      </c>
      <c r="C662" s="11" t="n">
        <f aca="false">A662-B662</f>
        <v>324500</v>
      </c>
      <c r="D662" s="11" t="n">
        <f aca="false">IF(Calculator!$B$6="Yes",MIN(B662,'Tax Tables'!$B$31*'Tax Tables'!$B$32),0)</f>
        <v>0</v>
      </c>
      <c r="E662" s="11" t="n">
        <f aca="false">D662*Calculator!$B$7</f>
        <v>0</v>
      </c>
      <c r="F662" s="11" t="n">
        <f aca="false">D662*Calculator!$B$8</f>
        <v>0</v>
      </c>
      <c r="G662" s="11" t="n">
        <f aca="false">IF(B662&gt;0,'Tax Tables'!$B$32*MIN(MAX(B662/'Tax Tables'!$B$32*'Tax Tables'!$B$33,'Tax Tables'!$B$34),'Tax Tables'!$B$35),0)</f>
        <v>0</v>
      </c>
      <c r="H662" s="11" t="n">
        <f aca="false">Calculator!$B$5-A662-F662-G662</f>
        <v>75500</v>
      </c>
      <c r="I662" s="11" t="n">
        <f aca="false">'Tax Tables'!$B$22*(MAX(H662,0)-IF(Calculator!$B$10="Yes",MIN(MAX(H662,0),'Tax Tables'!$B$27)*'Tax Tables'!$B$28+MIN(MAX(MAX(H662,0)-'Tax Tables'!$B$27,0),'Tax Tables'!$B$29)*'Tax Tables'!$B$30,MIN(MAX(H662,0),'Tax Tables'!$B$23)*'Tax Tables'!$B$24+MIN(MAX(MAX(H662,0)-'Tax Tables'!$B$23,0),'Tax Tables'!$B$25)*'Tax Tables'!$B$26))*1-MIN('Tax Tables'!$B$22*(MAX(H662,0)-IF(Calculator!$B$10="Yes",MIN(MAX(H662,0),'Tax Tables'!$B$27)*'Tax Tables'!$B$28+MIN(MAX(MAX(H662,0)-'Tax Tables'!$B$27,0),'Tax Tables'!$B$29)*'Tax Tables'!$B$30,MIN(MAX(H662,0),'Tax Tables'!$B$23)*'Tax Tables'!$B$24+MIN(MAX(MAX(H662,0)-'Tax Tables'!$B$23,0),'Tax Tables'!$B$25)*'Tax Tables'!$B$26))*Calculator!$B$11,Calculator!$B$12)</f>
        <v>5992.5</v>
      </c>
      <c r="J662" s="11" t="n">
        <f aca="false">MAX(H662,0)-I662</f>
        <v>69507.5</v>
      </c>
      <c r="K662" s="11" t="n">
        <f aca="false">MIN(IF(A662&gt;0,Calculator!$B$13,0)+E662+Calculator!$B$14,'Tax Tables'!$B$36)</f>
        <v>1000</v>
      </c>
      <c r="L662" s="11" t="n">
        <f aca="false">MAX(A662-K662,0)</f>
        <v>323500</v>
      </c>
      <c r="M662" s="11" t="n">
        <f aca="false">SUMPRODUCT((L662&gt;'Tax Tables'!$A$5:$A$17)*(L662-'Tax Tables'!$A$5:$A$17)*'Tax Tables'!$C$5:$C$17)</f>
        <v>45320</v>
      </c>
      <c r="N662" s="11" t="n">
        <f aca="false">IF(H662&lt;0,-1E+099,A662-E662-M662+J662+(E662+F662)*Calculator!$B$9)</f>
        <v>348687.5</v>
      </c>
      <c r="O662" s="2"/>
      <c r="P662" s="11" t="n">
        <f aca="false">649*$B$3</f>
        <v>324500</v>
      </c>
      <c r="Q662" s="11" t="n">
        <f aca="false">MIN(P662,'Tax Tables'!$B$31*'Tax Tables'!$B$32)</f>
        <v>96000</v>
      </c>
      <c r="R662" s="11" t="n">
        <f aca="false">P662-Q662</f>
        <v>228500</v>
      </c>
      <c r="S662" s="11" t="n">
        <f aca="false">IF(Calculator!$B$6="Yes",MIN(Q662,'Tax Tables'!$B$31*'Tax Tables'!$B$32),0)</f>
        <v>96000</v>
      </c>
      <c r="T662" s="11" t="n">
        <f aca="false">S662*Calculator!$B$7</f>
        <v>19200</v>
      </c>
      <c r="U662" s="11" t="n">
        <f aca="false">S662*Calculator!$B$8</f>
        <v>16320</v>
      </c>
      <c r="V662" s="11" t="n">
        <f aca="false">IF(Q662&gt;0,'Tax Tables'!$B$32*MIN(MAX(Q662/'Tax Tables'!$B$32*'Tax Tables'!$B$33,'Tax Tables'!$B$34),'Tax Tables'!$B$35),0)</f>
        <v>135</v>
      </c>
      <c r="W662" s="11" t="n">
        <f aca="false">Calculator!$B$5-P662-U662-V662</f>
        <v>59045</v>
      </c>
      <c r="X662" s="11" t="n">
        <f aca="false">'Tax Tables'!$B$22*(MAX(W662,0)-IF(Calculator!$B$10="Yes",MIN(MAX(W662,0),'Tax Tables'!$B$27)*'Tax Tables'!$B$28+MIN(MAX(MAX(W662,0)-'Tax Tables'!$B$27,0),'Tax Tables'!$B$29)*'Tax Tables'!$B$30,MIN(MAX(W662,0),'Tax Tables'!$B$23)*'Tax Tables'!$B$24+MIN(MAX(MAX(W662,0)-'Tax Tables'!$B$23,0),'Tax Tables'!$B$25)*'Tax Tables'!$B$26))*1-MIN('Tax Tables'!$B$22*(MAX(W662,0)-IF(Calculator!$B$10="Yes",MIN(MAX(W662,0),'Tax Tables'!$B$27)*'Tax Tables'!$B$28+MIN(MAX(MAX(W662,0)-'Tax Tables'!$B$27,0),'Tax Tables'!$B$29)*'Tax Tables'!$B$30,MIN(MAX(W662,0),'Tax Tables'!$B$23)*'Tax Tables'!$B$24+MIN(MAX(MAX(W662,0)-'Tax Tables'!$B$23,0),'Tax Tables'!$B$25)*'Tax Tables'!$B$26))*Calculator!$B$11,Calculator!$B$12)</f>
        <v>4593.825</v>
      </c>
      <c r="Y662" s="11" t="n">
        <f aca="false">MAX(W662,0)-X662</f>
        <v>54451.175</v>
      </c>
      <c r="Z662" s="11" t="n">
        <f aca="false">MIN(IF(P662&gt;0,Calculator!$B$13,0)+T662+Calculator!$B$14,'Tax Tables'!$B$36)</f>
        <v>20200</v>
      </c>
      <c r="AA662" s="11" t="n">
        <f aca="false">MAX(P662-Z662,0)</f>
        <v>304300</v>
      </c>
      <c r="AB662" s="11" t="n">
        <f aca="false">SUMPRODUCT((AA662&gt;'Tax Tables'!$A$5:$A$17)*(AA662-'Tax Tables'!$A$5:$A$17)*'Tax Tables'!$C$5:$C$17)</f>
        <v>41410</v>
      </c>
      <c r="AC662" s="11" t="n">
        <f aca="false">IF(W662&lt;0,-1E+099,P662-T662-AB662+Y662+(T662+U662)*Calculator!$B$9)</f>
        <v>353861.175</v>
      </c>
    </row>
    <row r="663" customFormat="false" ht="15" hidden="false" customHeight="false" outlineLevel="0" collapsed="false">
      <c r="A663" s="11" t="n">
        <f aca="false">650*$B$3</f>
        <v>325000</v>
      </c>
      <c r="B663" s="11" t="n">
        <f aca="false">0</f>
        <v>0</v>
      </c>
      <c r="C663" s="11" t="n">
        <f aca="false">A663-B663</f>
        <v>325000</v>
      </c>
      <c r="D663" s="11" t="n">
        <f aca="false">IF(Calculator!$B$6="Yes",MIN(B663,'Tax Tables'!$B$31*'Tax Tables'!$B$32),0)</f>
        <v>0</v>
      </c>
      <c r="E663" s="11" t="n">
        <f aca="false">D663*Calculator!$B$7</f>
        <v>0</v>
      </c>
      <c r="F663" s="11" t="n">
        <f aca="false">D663*Calculator!$B$8</f>
        <v>0</v>
      </c>
      <c r="G663" s="11" t="n">
        <f aca="false">IF(B663&gt;0,'Tax Tables'!$B$32*MIN(MAX(B663/'Tax Tables'!$B$32*'Tax Tables'!$B$33,'Tax Tables'!$B$34),'Tax Tables'!$B$35),0)</f>
        <v>0</v>
      </c>
      <c r="H663" s="11" t="n">
        <f aca="false">Calculator!$B$5-A663-F663-G663</f>
        <v>75000</v>
      </c>
      <c r="I663" s="11" t="n">
        <f aca="false">'Tax Tables'!$B$22*(MAX(H663,0)-IF(Calculator!$B$10="Yes",MIN(MAX(H663,0),'Tax Tables'!$B$27)*'Tax Tables'!$B$28+MIN(MAX(MAX(H663,0)-'Tax Tables'!$B$27,0),'Tax Tables'!$B$29)*'Tax Tables'!$B$30,MIN(MAX(H663,0),'Tax Tables'!$B$23)*'Tax Tables'!$B$24+MIN(MAX(MAX(H663,0)-'Tax Tables'!$B$23,0),'Tax Tables'!$B$25)*'Tax Tables'!$B$26))*1-MIN('Tax Tables'!$B$22*(MAX(H663,0)-IF(Calculator!$B$10="Yes",MIN(MAX(H663,0),'Tax Tables'!$B$27)*'Tax Tables'!$B$28+MIN(MAX(MAX(H663,0)-'Tax Tables'!$B$27,0),'Tax Tables'!$B$29)*'Tax Tables'!$B$30,MIN(MAX(H663,0),'Tax Tables'!$B$23)*'Tax Tables'!$B$24+MIN(MAX(MAX(H663,0)-'Tax Tables'!$B$23,0),'Tax Tables'!$B$25)*'Tax Tables'!$B$26))*Calculator!$B$11,Calculator!$B$12)</f>
        <v>5950</v>
      </c>
      <c r="J663" s="11" t="n">
        <f aca="false">MAX(H663,0)-I663</f>
        <v>69050</v>
      </c>
      <c r="K663" s="11" t="n">
        <f aca="false">MIN(IF(A663&gt;0,Calculator!$B$13,0)+E663+Calculator!$B$14,'Tax Tables'!$B$36)</f>
        <v>1000</v>
      </c>
      <c r="L663" s="11" t="n">
        <f aca="false">MAX(A663-K663,0)</f>
        <v>324000</v>
      </c>
      <c r="M663" s="11" t="n">
        <f aca="false">SUMPRODUCT((L663&gt;'Tax Tables'!$A$5:$A$17)*(L663-'Tax Tables'!$A$5:$A$17)*'Tax Tables'!$C$5:$C$17)</f>
        <v>45430</v>
      </c>
      <c r="N663" s="11" t="n">
        <f aca="false">IF(H663&lt;0,-1E+099,A663-E663-M663+J663+(E663+F663)*Calculator!$B$9)</f>
        <v>348620</v>
      </c>
      <c r="O663" s="2"/>
      <c r="P663" s="11" t="n">
        <f aca="false">650*$B$3</f>
        <v>325000</v>
      </c>
      <c r="Q663" s="11" t="n">
        <f aca="false">MIN(P663,'Tax Tables'!$B$31*'Tax Tables'!$B$32)</f>
        <v>96000</v>
      </c>
      <c r="R663" s="11" t="n">
        <f aca="false">P663-Q663</f>
        <v>229000</v>
      </c>
      <c r="S663" s="11" t="n">
        <f aca="false">IF(Calculator!$B$6="Yes",MIN(Q663,'Tax Tables'!$B$31*'Tax Tables'!$B$32),0)</f>
        <v>96000</v>
      </c>
      <c r="T663" s="11" t="n">
        <f aca="false">S663*Calculator!$B$7</f>
        <v>19200</v>
      </c>
      <c r="U663" s="11" t="n">
        <f aca="false">S663*Calculator!$B$8</f>
        <v>16320</v>
      </c>
      <c r="V663" s="11" t="n">
        <f aca="false">IF(Q663&gt;0,'Tax Tables'!$B$32*MIN(MAX(Q663/'Tax Tables'!$B$32*'Tax Tables'!$B$33,'Tax Tables'!$B$34),'Tax Tables'!$B$35),0)</f>
        <v>135</v>
      </c>
      <c r="W663" s="11" t="n">
        <f aca="false">Calculator!$B$5-P663-U663-V663</f>
        <v>58545</v>
      </c>
      <c r="X663" s="11" t="n">
        <f aca="false">'Tax Tables'!$B$22*(MAX(W663,0)-IF(Calculator!$B$10="Yes",MIN(MAX(W663,0),'Tax Tables'!$B$27)*'Tax Tables'!$B$28+MIN(MAX(MAX(W663,0)-'Tax Tables'!$B$27,0),'Tax Tables'!$B$29)*'Tax Tables'!$B$30,MIN(MAX(W663,0),'Tax Tables'!$B$23)*'Tax Tables'!$B$24+MIN(MAX(MAX(W663,0)-'Tax Tables'!$B$23,0),'Tax Tables'!$B$25)*'Tax Tables'!$B$26))*1-MIN('Tax Tables'!$B$22*(MAX(W663,0)-IF(Calculator!$B$10="Yes",MIN(MAX(W663,0),'Tax Tables'!$B$27)*'Tax Tables'!$B$28+MIN(MAX(MAX(W663,0)-'Tax Tables'!$B$27,0),'Tax Tables'!$B$29)*'Tax Tables'!$B$30,MIN(MAX(W663,0),'Tax Tables'!$B$23)*'Tax Tables'!$B$24+MIN(MAX(MAX(W663,0)-'Tax Tables'!$B$23,0),'Tax Tables'!$B$25)*'Tax Tables'!$B$26))*Calculator!$B$11,Calculator!$B$12)</f>
        <v>4551.325</v>
      </c>
      <c r="Y663" s="11" t="n">
        <f aca="false">MAX(W663,0)-X663</f>
        <v>53993.675</v>
      </c>
      <c r="Z663" s="11" t="n">
        <f aca="false">MIN(IF(P663&gt;0,Calculator!$B$13,0)+T663+Calculator!$B$14,'Tax Tables'!$B$36)</f>
        <v>20200</v>
      </c>
      <c r="AA663" s="11" t="n">
        <f aca="false">MAX(P663-Z663,0)</f>
        <v>304800</v>
      </c>
      <c r="AB663" s="11" t="n">
        <f aca="false">SUMPRODUCT((AA663&gt;'Tax Tables'!$A$5:$A$17)*(AA663-'Tax Tables'!$A$5:$A$17)*'Tax Tables'!$C$5:$C$17)</f>
        <v>41510</v>
      </c>
      <c r="AC663" s="11" t="n">
        <f aca="false">IF(W663&lt;0,-1E+099,P663-T663-AB663+Y663+(T663+U663)*Calculator!$B$9)</f>
        <v>353803.675</v>
      </c>
    </row>
    <row r="664" customFormat="false" ht="15" hidden="false" customHeight="false" outlineLevel="0" collapsed="false">
      <c r="A664" s="11" t="n">
        <f aca="false">651*$B$3</f>
        <v>325500</v>
      </c>
      <c r="B664" s="11" t="n">
        <f aca="false">0</f>
        <v>0</v>
      </c>
      <c r="C664" s="11" t="n">
        <f aca="false">A664-B664</f>
        <v>325500</v>
      </c>
      <c r="D664" s="11" t="n">
        <f aca="false">IF(Calculator!$B$6="Yes",MIN(B664,'Tax Tables'!$B$31*'Tax Tables'!$B$32),0)</f>
        <v>0</v>
      </c>
      <c r="E664" s="11" t="n">
        <f aca="false">D664*Calculator!$B$7</f>
        <v>0</v>
      </c>
      <c r="F664" s="11" t="n">
        <f aca="false">D664*Calculator!$B$8</f>
        <v>0</v>
      </c>
      <c r="G664" s="11" t="n">
        <f aca="false">IF(B664&gt;0,'Tax Tables'!$B$32*MIN(MAX(B664/'Tax Tables'!$B$32*'Tax Tables'!$B$33,'Tax Tables'!$B$34),'Tax Tables'!$B$35),0)</f>
        <v>0</v>
      </c>
      <c r="H664" s="11" t="n">
        <f aca="false">Calculator!$B$5-A664-F664-G664</f>
        <v>74500</v>
      </c>
      <c r="I664" s="11" t="n">
        <f aca="false">'Tax Tables'!$B$22*(MAX(H664,0)-IF(Calculator!$B$10="Yes",MIN(MAX(H664,0),'Tax Tables'!$B$27)*'Tax Tables'!$B$28+MIN(MAX(MAX(H664,0)-'Tax Tables'!$B$27,0),'Tax Tables'!$B$29)*'Tax Tables'!$B$30,MIN(MAX(H664,0),'Tax Tables'!$B$23)*'Tax Tables'!$B$24+MIN(MAX(MAX(H664,0)-'Tax Tables'!$B$23,0),'Tax Tables'!$B$25)*'Tax Tables'!$B$26))*1-MIN('Tax Tables'!$B$22*(MAX(H664,0)-IF(Calculator!$B$10="Yes",MIN(MAX(H664,0),'Tax Tables'!$B$27)*'Tax Tables'!$B$28+MIN(MAX(MAX(H664,0)-'Tax Tables'!$B$27,0),'Tax Tables'!$B$29)*'Tax Tables'!$B$30,MIN(MAX(H664,0),'Tax Tables'!$B$23)*'Tax Tables'!$B$24+MIN(MAX(MAX(H664,0)-'Tax Tables'!$B$23,0),'Tax Tables'!$B$25)*'Tax Tables'!$B$26))*Calculator!$B$11,Calculator!$B$12)</f>
        <v>5907.5</v>
      </c>
      <c r="J664" s="11" t="n">
        <f aca="false">MAX(H664,0)-I664</f>
        <v>68592.5</v>
      </c>
      <c r="K664" s="11" t="n">
        <f aca="false">MIN(IF(A664&gt;0,Calculator!$B$13,0)+E664+Calculator!$B$14,'Tax Tables'!$B$36)</f>
        <v>1000</v>
      </c>
      <c r="L664" s="11" t="n">
        <f aca="false">MAX(A664-K664,0)</f>
        <v>324500</v>
      </c>
      <c r="M664" s="11" t="n">
        <f aca="false">SUMPRODUCT((L664&gt;'Tax Tables'!$A$5:$A$17)*(L664-'Tax Tables'!$A$5:$A$17)*'Tax Tables'!$C$5:$C$17)</f>
        <v>45540</v>
      </c>
      <c r="N664" s="11" t="n">
        <f aca="false">IF(H664&lt;0,-1E+099,A664-E664-M664+J664+(E664+F664)*Calculator!$B$9)</f>
        <v>348552.5</v>
      </c>
      <c r="O664" s="2"/>
      <c r="P664" s="11" t="n">
        <f aca="false">651*$B$3</f>
        <v>325500</v>
      </c>
      <c r="Q664" s="11" t="n">
        <f aca="false">MIN(P664,'Tax Tables'!$B$31*'Tax Tables'!$B$32)</f>
        <v>96000</v>
      </c>
      <c r="R664" s="11" t="n">
        <f aca="false">P664-Q664</f>
        <v>229500</v>
      </c>
      <c r="S664" s="11" t="n">
        <f aca="false">IF(Calculator!$B$6="Yes",MIN(Q664,'Tax Tables'!$B$31*'Tax Tables'!$B$32),0)</f>
        <v>96000</v>
      </c>
      <c r="T664" s="11" t="n">
        <f aca="false">S664*Calculator!$B$7</f>
        <v>19200</v>
      </c>
      <c r="U664" s="11" t="n">
        <f aca="false">S664*Calculator!$B$8</f>
        <v>16320</v>
      </c>
      <c r="V664" s="11" t="n">
        <f aca="false">IF(Q664&gt;0,'Tax Tables'!$B$32*MIN(MAX(Q664/'Tax Tables'!$B$32*'Tax Tables'!$B$33,'Tax Tables'!$B$34),'Tax Tables'!$B$35),0)</f>
        <v>135</v>
      </c>
      <c r="W664" s="11" t="n">
        <f aca="false">Calculator!$B$5-P664-U664-V664</f>
        <v>58045</v>
      </c>
      <c r="X664" s="11" t="n">
        <f aca="false">'Tax Tables'!$B$22*(MAX(W664,0)-IF(Calculator!$B$10="Yes",MIN(MAX(W664,0),'Tax Tables'!$B$27)*'Tax Tables'!$B$28+MIN(MAX(MAX(W664,0)-'Tax Tables'!$B$27,0),'Tax Tables'!$B$29)*'Tax Tables'!$B$30,MIN(MAX(W664,0),'Tax Tables'!$B$23)*'Tax Tables'!$B$24+MIN(MAX(MAX(W664,0)-'Tax Tables'!$B$23,0),'Tax Tables'!$B$25)*'Tax Tables'!$B$26))*1-MIN('Tax Tables'!$B$22*(MAX(W664,0)-IF(Calculator!$B$10="Yes",MIN(MAX(W664,0),'Tax Tables'!$B$27)*'Tax Tables'!$B$28+MIN(MAX(MAX(W664,0)-'Tax Tables'!$B$27,0),'Tax Tables'!$B$29)*'Tax Tables'!$B$30,MIN(MAX(W664,0),'Tax Tables'!$B$23)*'Tax Tables'!$B$24+MIN(MAX(MAX(W664,0)-'Tax Tables'!$B$23,0),'Tax Tables'!$B$25)*'Tax Tables'!$B$26))*Calculator!$B$11,Calculator!$B$12)</f>
        <v>4508.825</v>
      </c>
      <c r="Y664" s="11" t="n">
        <f aca="false">MAX(W664,0)-X664</f>
        <v>53536.175</v>
      </c>
      <c r="Z664" s="11" t="n">
        <f aca="false">MIN(IF(P664&gt;0,Calculator!$B$13,0)+T664+Calculator!$B$14,'Tax Tables'!$B$36)</f>
        <v>20200</v>
      </c>
      <c r="AA664" s="11" t="n">
        <f aca="false">MAX(P664-Z664,0)</f>
        <v>305300</v>
      </c>
      <c r="AB664" s="11" t="n">
        <f aca="false">SUMPRODUCT((AA664&gt;'Tax Tables'!$A$5:$A$17)*(AA664-'Tax Tables'!$A$5:$A$17)*'Tax Tables'!$C$5:$C$17)</f>
        <v>41610</v>
      </c>
      <c r="AC664" s="11" t="n">
        <f aca="false">IF(W664&lt;0,-1E+099,P664-T664-AB664+Y664+(T664+U664)*Calculator!$B$9)</f>
        <v>353746.175</v>
      </c>
    </row>
    <row r="665" customFormat="false" ht="15" hidden="false" customHeight="false" outlineLevel="0" collapsed="false">
      <c r="A665" s="11" t="n">
        <f aca="false">652*$B$3</f>
        <v>326000</v>
      </c>
      <c r="B665" s="11" t="n">
        <f aca="false">0</f>
        <v>0</v>
      </c>
      <c r="C665" s="11" t="n">
        <f aca="false">A665-B665</f>
        <v>326000</v>
      </c>
      <c r="D665" s="11" t="n">
        <f aca="false">IF(Calculator!$B$6="Yes",MIN(B665,'Tax Tables'!$B$31*'Tax Tables'!$B$32),0)</f>
        <v>0</v>
      </c>
      <c r="E665" s="11" t="n">
        <f aca="false">D665*Calculator!$B$7</f>
        <v>0</v>
      </c>
      <c r="F665" s="11" t="n">
        <f aca="false">D665*Calculator!$B$8</f>
        <v>0</v>
      </c>
      <c r="G665" s="11" t="n">
        <f aca="false">IF(B665&gt;0,'Tax Tables'!$B$32*MIN(MAX(B665/'Tax Tables'!$B$32*'Tax Tables'!$B$33,'Tax Tables'!$B$34),'Tax Tables'!$B$35),0)</f>
        <v>0</v>
      </c>
      <c r="H665" s="11" t="n">
        <f aca="false">Calculator!$B$5-A665-F665-G665</f>
        <v>74000</v>
      </c>
      <c r="I665" s="11" t="n">
        <f aca="false">'Tax Tables'!$B$22*(MAX(H665,0)-IF(Calculator!$B$10="Yes",MIN(MAX(H665,0),'Tax Tables'!$B$27)*'Tax Tables'!$B$28+MIN(MAX(MAX(H665,0)-'Tax Tables'!$B$27,0),'Tax Tables'!$B$29)*'Tax Tables'!$B$30,MIN(MAX(H665,0),'Tax Tables'!$B$23)*'Tax Tables'!$B$24+MIN(MAX(MAX(H665,0)-'Tax Tables'!$B$23,0),'Tax Tables'!$B$25)*'Tax Tables'!$B$26))*1-MIN('Tax Tables'!$B$22*(MAX(H665,0)-IF(Calculator!$B$10="Yes",MIN(MAX(H665,0),'Tax Tables'!$B$27)*'Tax Tables'!$B$28+MIN(MAX(MAX(H665,0)-'Tax Tables'!$B$27,0),'Tax Tables'!$B$29)*'Tax Tables'!$B$30,MIN(MAX(H665,0),'Tax Tables'!$B$23)*'Tax Tables'!$B$24+MIN(MAX(MAX(H665,0)-'Tax Tables'!$B$23,0),'Tax Tables'!$B$25)*'Tax Tables'!$B$26))*Calculator!$B$11,Calculator!$B$12)</f>
        <v>5865</v>
      </c>
      <c r="J665" s="11" t="n">
        <f aca="false">MAX(H665,0)-I665</f>
        <v>68135</v>
      </c>
      <c r="K665" s="11" t="n">
        <f aca="false">MIN(IF(A665&gt;0,Calculator!$B$13,0)+E665+Calculator!$B$14,'Tax Tables'!$B$36)</f>
        <v>1000</v>
      </c>
      <c r="L665" s="11" t="n">
        <f aca="false">MAX(A665-K665,0)</f>
        <v>325000</v>
      </c>
      <c r="M665" s="11" t="n">
        <f aca="false">SUMPRODUCT((L665&gt;'Tax Tables'!$A$5:$A$17)*(L665-'Tax Tables'!$A$5:$A$17)*'Tax Tables'!$C$5:$C$17)</f>
        <v>45650</v>
      </c>
      <c r="N665" s="11" t="n">
        <f aca="false">IF(H665&lt;0,-1E+099,A665-E665-M665+J665+(E665+F665)*Calculator!$B$9)</f>
        <v>348485</v>
      </c>
      <c r="O665" s="2"/>
      <c r="P665" s="11" t="n">
        <f aca="false">652*$B$3</f>
        <v>326000</v>
      </c>
      <c r="Q665" s="11" t="n">
        <f aca="false">MIN(P665,'Tax Tables'!$B$31*'Tax Tables'!$B$32)</f>
        <v>96000</v>
      </c>
      <c r="R665" s="11" t="n">
        <f aca="false">P665-Q665</f>
        <v>230000</v>
      </c>
      <c r="S665" s="11" t="n">
        <f aca="false">IF(Calculator!$B$6="Yes",MIN(Q665,'Tax Tables'!$B$31*'Tax Tables'!$B$32),0)</f>
        <v>96000</v>
      </c>
      <c r="T665" s="11" t="n">
        <f aca="false">S665*Calculator!$B$7</f>
        <v>19200</v>
      </c>
      <c r="U665" s="11" t="n">
        <f aca="false">S665*Calculator!$B$8</f>
        <v>16320</v>
      </c>
      <c r="V665" s="11" t="n">
        <f aca="false">IF(Q665&gt;0,'Tax Tables'!$B$32*MIN(MAX(Q665/'Tax Tables'!$B$32*'Tax Tables'!$B$33,'Tax Tables'!$B$34),'Tax Tables'!$B$35),0)</f>
        <v>135</v>
      </c>
      <c r="W665" s="11" t="n">
        <f aca="false">Calculator!$B$5-P665-U665-V665</f>
        <v>57545</v>
      </c>
      <c r="X665" s="11" t="n">
        <f aca="false">'Tax Tables'!$B$22*(MAX(W665,0)-IF(Calculator!$B$10="Yes",MIN(MAX(W665,0),'Tax Tables'!$B$27)*'Tax Tables'!$B$28+MIN(MAX(MAX(W665,0)-'Tax Tables'!$B$27,0),'Tax Tables'!$B$29)*'Tax Tables'!$B$30,MIN(MAX(W665,0),'Tax Tables'!$B$23)*'Tax Tables'!$B$24+MIN(MAX(MAX(W665,0)-'Tax Tables'!$B$23,0),'Tax Tables'!$B$25)*'Tax Tables'!$B$26))*1-MIN('Tax Tables'!$B$22*(MAX(W665,0)-IF(Calculator!$B$10="Yes",MIN(MAX(W665,0),'Tax Tables'!$B$27)*'Tax Tables'!$B$28+MIN(MAX(MAX(W665,0)-'Tax Tables'!$B$27,0),'Tax Tables'!$B$29)*'Tax Tables'!$B$30,MIN(MAX(W665,0),'Tax Tables'!$B$23)*'Tax Tables'!$B$24+MIN(MAX(MAX(W665,0)-'Tax Tables'!$B$23,0),'Tax Tables'!$B$25)*'Tax Tables'!$B$26))*Calculator!$B$11,Calculator!$B$12)</f>
        <v>4466.325</v>
      </c>
      <c r="Y665" s="11" t="n">
        <f aca="false">MAX(W665,0)-X665</f>
        <v>53078.675</v>
      </c>
      <c r="Z665" s="11" t="n">
        <f aca="false">MIN(IF(P665&gt;0,Calculator!$B$13,0)+T665+Calculator!$B$14,'Tax Tables'!$B$36)</f>
        <v>20200</v>
      </c>
      <c r="AA665" s="11" t="n">
        <f aca="false">MAX(P665-Z665,0)</f>
        <v>305800</v>
      </c>
      <c r="AB665" s="11" t="n">
        <f aca="false">SUMPRODUCT((AA665&gt;'Tax Tables'!$A$5:$A$17)*(AA665-'Tax Tables'!$A$5:$A$17)*'Tax Tables'!$C$5:$C$17)</f>
        <v>41710</v>
      </c>
      <c r="AC665" s="11" t="n">
        <f aca="false">IF(W665&lt;0,-1E+099,P665-T665-AB665+Y665+(T665+U665)*Calculator!$B$9)</f>
        <v>353688.675</v>
      </c>
    </row>
    <row r="666" customFormat="false" ht="15" hidden="false" customHeight="false" outlineLevel="0" collapsed="false">
      <c r="A666" s="11" t="n">
        <f aca="false">653*$B$3</f>
        <v>326500</v>
      </c>
      <c r="B666" s="11" t="n">
        <f aca="false">0</f>
        <v>0</v>
      </c>
      <c r="C666" s="11" t="n">
        <f aca="false">A666-B666</f>
        <v>326500</v>
      </c>
      <c r="D666" s="11" t="n">
        <f aca="false">IF(Calculator!$B$6="Yes",MIN(B666,'Tax Tables'!$B$31*'Tax Tables'!$B$32),0)</f>
        <v>0</v>
      </c>
      <c r="E666" s="11" t="n">
        <f aca="false">D666*Calculator!$B$7</f>
        <v>0</v>
      </c>
      <c r="F666" s="11" t="n">
        <f aca="false">D666*Calculator!$B$8</f>
        <v>0</v>
      </c>
      <c r="G666" s="11" t="n">
        <f aca="false">IF(B666&gt;0,'Tax Tables'!$B$32*MIN(MAX(B666/'Tax Tables'!$B$32*'Tax Tables'!$B$33,'Tax Tables'!$B$34),'Tax Tables'!$B$35),0)</f>
        <v>0</v>
      </c>
      <c r="H666" s="11" t="n">
        <f aca="false">Calculator!$B$5-A666-F666-G666</f>
        <v>73500</v>
      </c>
      <c r="I666" s="11" t="n">
        <f aca="false">'Tax Tables'!$B$22*(MAX(H666,0)-IF(Calculator!$B$10="Yes",MIN(MAX(H666,0),'Tax Tables'!$B$27)*'Tax Tables'!$B$28+MIN(MAX(MAX(H666,0)-'Tax Tables'!$B$27,0),'Tax Tables'!$B$29)*'Tax Tables'!$B$30,MIN(MAX(H666,0),'Tax Tables'!$B$23)*'Tax Tables'!$B$24+MIN(MAX(MAX(H666,0)-'Tax Tables'!$B$23,0),'Tax Tables'!$B$25)*'Tax Tables'!$B$26))*1-MIN('Tax Tables'!$B$22*(MAX(H666,0)-IF(Calculator!$B$10="Yes",MIN(MAX(H666,0),'Tax Tables'!$B$27)*'Tax Tables'!$B$28+MIN(MAX(MAX(H666,0)-'Tax Tables'!$B$27,0),'Tax Tables'!$B$29)*'Tax Tables'!$B$30,MIN(MAX(H666,0),'Tax Tables'!$B$23)*'Tax Tables'!$B$24+MIN(MAX(MAX(H666,0)-'Tax Tables'!$B$23,0),'Tax Tables'!$B$25)*'Tax Tables'!$B$26))*Calculator!$B$11,Calculator!$B$12)</f>
        <v>5822.5</v>
      </c>
      <c r="J666" s="11" t="n">
        <f aca="false">MAX(H666,0)-I666</f>
        <v>67677.5</v>
      </c>
      <c r="K666" s="11" t="n">
        <f aca="false">MIN(IF(A666&gt;0,Calculator!$B$13,0)+E666+Calculator!$B$14,'Tax Tables'!$B$36)</f>
        <v>1000</v>
      </c>
      <c r="L666" s="11" t="n">
        <f aca="false">MAX(A666-K666,0)</f>
        <v>325500</v>
      </c>
      <c r="M666" s="11" t="n">
        <f aca="false">SUMPRODUCT((L666&gt;'Tax Tables'!$A$5:$A$17)*(L666-'Tax Tables'!$A$5:$A$17)*'Tax Tables'!$C$5:$C$17)</f>
        <v>45760</v>
      </c>
      <c r="N666" s="11" t="n">
        <f aca="false">IF(H666&lt;0,-1E+099,A666-E666-M666+J666+(E666+F666)*Calculator!$B$9)</f>
        <v>348417.5</v>
      </c>
      <c r="O666" s="2"/>
      <c r="P666" s="11" t="n">
        <f aca="false">653*$B$3</f>
        <v>326500</v>
      </c>
      <c r="Q666" s="11" t="n">
        <f aca="false">MIN(P666,'Tax Tables'!$B$31*'Tax Tables'!$B$32)</f>
        <v>96000</v>
      </c>
      <c r="R666" s="11" t="n">
        <f aca="false">P666-Q666</f>
        <v>230500</v>
      </c>
      <c r="S666" s="11" t="n">
        <f aca="false">IF(Calculator!$B$6="Yes",MIN(Q666,'Tax Tables'!$B$31*'Tax Tables'!$B$32),0)</f>
        <v>96000</v>
      </c>
      <c r="T666" s="11" t="n">
        <f aca="false">S666*Calculator!$B$7</f>
        <v>19200</v>
      </c>
      <c r="U666" s="11" t="n">
        <f aca="false">S666*Calculator!$B$8</f>
        <v>16320</v>
      </c>
      <c r="V666" s="11" t="n">
        <f aca="false">IF(Q666&gt;0,'Tax Tables'!$B$32*MIN(MAX(Q666/'Tax Tables'!$B$32*'Tax Tables'!$B$33,'Tax Tables'!$B$34),'Tax Tables'!$B$35),0)</f>
        <v>135</v>
      </c>
      <c r="W666" s="11" t="n">
        <f aca="false">Calculator!$B$5-P666-U666-V666</f>
        <v>57045</v>
      </c>
      <c r="X666" s="11" t="n">
        <f aca="false">'Tax Tables'!$B$22*(MAX(W666,0)-IF(Calculator!$B$10="Yes",MIN(MAX(W666,0),'Tax Tables'!$B$27)*'Tax Tables'!$B$28+MIN(MAX(MAX(W666,0)-'Tax Tables'!$B$27,0),'Tax Tables'!$B$29)*'Tax Tables'!$B$30,MIN(MAX(W666,0),'Tax Tables'!$B$23)*'Tax Tables'!$B$24+MIN(MAX(MAX(W666,0)-'Tax Tables'!$B$23,0),'Tax Tables'!$B$25)*'Tax Tables'!$B$26))*1-MIN('Tax Tables'!$B$22*(MAX(W666,0)-IF(Calculator!$B$10="Yes",MIN(MAX(W666,0),'Tax Tables'!$B$27)*'Tax Tables'!$B$28+MIN(MAX(MAX(W666,0)-'Tax Tables'!$B$27,0),'Tax Tables'!$B$29)*'Tax Tables'!$B$30,MIN(MAX(W666,0),'Tax Tables'!$B$23)*'Tax Tables'!$B$24+MIN(MAX(MAX(W666,0)-'Tax Tables'!$B$23,0),'Tax Tables'!$B$25)*'Tax Tables'!$B$26))*Calculator!$B$11,Calculator!$B$12)</f>
        <v>4423.825</v>
      </c>
      <c r="Y666" s="11" t="n">
        <f aca="false">MAX(W666,0)-X666</f>
        <v>52621.175</v>
      </c>
      <c r="Z666" s="11" t="n">
        <f aca="false">MIN(IF(P666&gt;0,Calculator!$B$13,0)+T666+Calculator!$B$14,'Tax Tables'!$B$36)</f>
        <v>20200</v>
      </c>
      <c r="AA666" s="11" t="n">
        <f aca="false">MAX(P666-Z666,0)</f>
        <v>306300</v>
      </c>
      <c r="AB666" s="11" t="n">
        <f aca="false">SUMPRODUCT((AA666&gt;'Tax Tables'!$A$5:$A$17)*(AA666-'Tax Tables'!$A$5:$A$17)*'Tax Tables'!$C$5:$C$17)</f>
        <v>41810</v>
      </c>
      <c r="AC666" s="11" t="n">
        <f aca="false">IF(W666&lt;0,-1E+099,P666-T666-AB666+Y666+(T666+U666)*Calculator!$B$9)</f>
        <v>353631.175</v>
      </c>
    </row>
    <row r="667" customFormat="false" ht="15" hidden="false" customHeight="false" outlineLevel="0" collapsed="false">
      <c r="A667" s="11" t="n">
        <f aca="false">654*$B$3</f>
        <v>327000</v>
      </c>
      <c r="B667" s="11" t="n">
        <f aca="false">0</f>
        <v>0</v>
      </c>
      <c r="C667" s="11" t="n">
        <f aca="false">A667-B667</f>
        <v>327000</v>
      </c>
      <c r="D667" s="11" t="n">
        <f aca="false">IF(Calculator!$B$6="Yes",MIN(B667,'Tax Tables'!$B$31*'Tax Tables'!$B$32),0)</f>
        <v>0</v>
      </c>
      <c r="E667" s="11" t="n">
        <f aca="false">D667*Calculator!$B$7</f>
        <v>0</v>
      </c>
      <c r="F667" s="11" t="n">
        <f aca="false">D667*Calculator!$B$8</f>
        <v>0</v>
      </c>
      <c r="G667" s="11" t="n">
        <f aca="false">IF(B667&gt;0,'Tax Tables'!$B$32*MIN(MAX(B667/'Tax Tables'!$B$32*'Tax Tables'!$B$33,'Tax Tables'!$B$34),'Tax Tables'!$B$35),0)</f>
        <v>0</v>
      </c>
      <c r="H667" s="11" t="n">
        <f aca="false">Calculator!$B$5-A667-F667-G667</f>
        <v>73000</v>
      </c>
      <c r="I667" s="11" t="n">
        <f aca="false">'Tax Tables'!$B$22*(MAX(H667,0)-IF(Calculator!$B$10="Yes",MIN(MAX(H667,0),'Tax Tables'!$B$27)*'Tax Tables'!$B$28+MIN(MAX(MAX(H667,0)-'Tax Tables'!$B$27,0),'Tax Tables'!$B$29)*'Tax Tables'!$B$30,MIN(MAX(H667,0),'Tax Tables'!$B$23)*'Tax Tables'!$B$24+MIN(MAX(MAX(H667,0)-'Tax Tables'!$B$23,0),'Tax Tables'!$B$25)*'Tax Tables'!$B$26))*1-MIN('Tax Tables'!$B$22*(MAX(H667,0)-IF(Calculator!$B$10="Yes",MIN(MAX(H667,0),'Tax Tables'!$B$27)*'Tax Tables'!$B$28+MIN(MAX(MAX(H667,0)-'Tax Tables'!$B$27,0),'Tax Tables'!$B$29)*'Tax Tables'!$B$30,MIN(MAX(H667,0),'Tax Tables'!$B$23)*'Tax Tables'!$B$24+MIN(MAX(MAX(H667,0)-'Tax Tables'!$B$23,0),'Tax Tables'!$B$25)*'Tax Tables'!$B$26))*Calculator!$B$11,Calculator!$B$12)</f>
        <v>5780</v>
      </c>
      <c r="J667" s="11" t="n">
        <f aca="false">MAX(H667,0)-I667</f>
        <v>67220</v>
      </c>
      <c r="K667" s="11" t="n">
        <f aca="false">MIN(IF(A667&gt;0,Calculator!$B$13,0)+E667+Calculator!$B$14,'Tax Tables'!$B$36)</f>
        <v>1000</v>
      </c>
      <c r="L667" s="11" t="n">
        <f aca="false">MAX(A667-K667,0)</f>
        <v>326000</v>
      </c>
      <c r="M667" s="11" t="n">
        <f aca="false">SUMPRODUCT((L667&gt;'Tax Tables'!$A$5:$A$17)*(L667-'Tax Tables'!$A$5:$A$17)*'Tax Tables'!$C$5:$C$17)</f>
        <v>45870</v>
      </c>
      <c r="N667" s="11" t="n">
        <f aca="false">IF(H667&lt;0,-1E+099,A667-E667-M667+J667+(E667+F667)*Calculator!$B$9)</f>
        <v>348350</v>
      </c>
      <c r="O667" s="2"/>
      <c r="P667" s="11" t="n">
        <f aca="false">654*$B$3</f>
        <v>327000</v>
      </c>
      <c r="Q667" s="11" t="n">
        <f aca="false">MIN(P667,'Tax Tables'!$B$31*'Tax Tables'!$B$32)</f>
        <v>96000</v>
      </c>
      <c r="R667" s="11" t="n">
        <f aca="false">P667-Q667</f>
        <v>231000</v>
      </c>
      <c r="S667" s="11" t="n">
        <f aca="false">IF(Calculator!$B$6="Yes",MIN(Q667,'Tax Tables'!$B$31*'Tax Tables'!$B$32),0)</f>
        <v>96000</v>
      </c>
      <c r="T667" s="11" t="n">
        <f aca="false">S667*Calculator!$B$7</f>
        <v>19200</v>
      </c>
      <c r="U667" s="11" t="n">
        <f aca="false">S667*Calculator!$B$8</f>
        <v>16320</v>
      </c>
      <c r="V667" s="11" t="n">
        <f aca="false">IF(Q667&gt;0,'Tax Tables'!$B$32*MIN(MAX(Q667/'Tax Tables'!$B$32*'Tax Tables'!$B$33,'Tax Tables'!$B$34),'Tax Tables'!$B$35),0)</f>
        <v>135</v>
      </c>
      <c r="W667" s="11" t="n">
        <f aca="false">Calculator!$B$5-P667-U667-V667</f>
        <v>56545</v>
      </c>
      <c r="X667" s="11" t="n">
        <f aca="false">'Tax Tables'!$B$22*(MAX(W667,0)-IF(Calculator!$B$10="Yes",MIN(MAX(W667,0),'Tax Tables'!$B$27)*'Tax Tables'!$B$28+MIN(MAX(MAX(W667,0)-'Tax Tables'!$B$27,0),'Tax Tables'!$B$29)*'Tax Tables'!$B$30,MIN(MAX(W667,0),'Tax Tables'!$B$23)*'Tax Tables'!$B$24+MIN(MAX(MAX(W667,0)-'Tax Tables'!$B$23,0),'Tax Tables'!$B$25)*'Tax Tables'!$B$26))*1-MIN('Tax Tables'!$B$22*(MAX(W667,0)-IF(Calculator!$B$10="Yes",MIN(MAX(W667,0),'Tax Tables'!$B$27)*'Tax Tables'!$B$28+MIN(MAX(MAX(W667,0)-'Tax Tables'!$B$27,0),'Tax Tables'!$B$29)*'Tax Tables'!$B$30,MIN(MAX(W667,0),'Tax Tables'!$B$23)*'Tax Tables'!$B$24+MIN(MAX(MAX(W667,0)-'Tax Tables'!$B$23,0),'Tax Tables'!$B$25)*'Tax Tables'!$B$26))*Calculator!$B$11,Calculator!$B$12)</f>
        <v>4381.325</v>
      </c>
      <c r="Y667" s="11" t="n">
        <f aca="false">MAX(W667,0)-X667</f>
        <v>52163.675</v>
      </c>
      <c r="Z667" s="11" t="n">
        <f aca="false">MIN(IF(P667&gt;0,Calculator!$B$13,0)+T667+Calculator!$B$14,'Tax Tables'!$B$36)</f>
        <v>20200</v>
      </c>
      <c r="AA667" s="11" t="n">
        <f aca="false">MAX(P667-Z667,0)</f>
        <v>306800</v>
      </c>
      <c r="AB667" s="11" t="n">
        <f aca="false">SUMPRODUCT((AA667&gt;'Tax Tables'!$A$5:$A$17)*(AA667-'Tax Tables'!$A$5:$A$17)*'Tax Tables'!$C$5:$C$17)</f>
        <v>41910</v>
      </c>
      <c r="AC667" s="11" t="n">
        <f aca="false">IF(W667&lt;0,-1E+099,P667-T667-AB667+Y667+(T667+U667)*Calculator!$B$9)</f>
        <v>353573.675</v>
      </c>
    </row>
    <row r="668" customFormat="false" ht="15" hidden="false" customHeight="false" outlineLevel="0" collapsed="false">
      <c r="A668" s="11" t="n">
        <f aca="false">655*$B$3</f>
        <v>327500</v>
      </c>
      <c r="B668" s="11" t="n">
        <f aca="false">0</f>
        <v>0</v>
      </c>
      <c r="C668" s="11" t="n">
        <f aca="false">A668-B668</f>
        <v>327500</v>
      </c>
      <c r="D668" s="11" t="n">
        <f aca="false">IF(Calculator!$B$6="Yes",MIN(B668,'Tax Tables'!$B$31*'Tax Tables'!$B$32),0)</f>
        <v>0</v>
      </c>
      <c r="E668" s="11" t="n">
        <f aca="false">D668*Calculator!$B$7</f>
        <v>0</v>
      </c>
      <c r="F668" s="11" t="n">
        <f aca="false">D668*Calculator!$B$8</f>
        <v>0</v>
      </c>
      <c r="G668" s="11" t="n">
        <f aca="false">IF(B668&gt;0,'Tax Tables'!$B$32*MIN(MAX(B668/'Tax Tables'!$B$32*'Tax Tables'!$B$33,'Tax Tables'!$B$34),'Tax Tables'!$B$35),0)</f>
        <v>0</v>
      </c>
      <c r="H668" s="11" t="n">
        <f aca="false">Calculator!$B$5-A668-F668-G668</f>
        <v>72500</v>
      </c>
      <c r="I668" s="11" t="n">
        <f aca="false">'Tax Tables'!$B$22*(MAX(H668,0)-IF(Calculator!$B$10="Yes",MIN(MAX(H668,0),'Tax Tables'!$B$27)*'Tax Tables'!$B$28+MIN(MAX(MAX(H668,0)-'Tax Tables'!$B$27,0),'Tax Tables'!$B$29)*'Tax Tables'!$B$30,MIN(MAX(H668,0),'Tax Tables'!$B$23)*'Tax Tables'!$B$24+MIN(MAX(MAX(H668,0)-'Tax Tables'!$B$23,0),'Tax Tables'!$B$25)*'Tax Tables'!$B$26))*1-MIN('Tax Tables'!$B$22*(MAX(H668,0)-IF(Calculator!$B$10="Yes",MIN(MAX(H668,0),'Tax Tables'!$B$27)*'Tax Tables'!$B$28+MIN(MAX(MAX(H668,0)-'Tax Tables'!$B$27,0),'Tax Tables'!$B$29)*'Tax Tables'!$B$30,MIN(MAX(H668,0),'Tax Tables'!$B$23)*'Tax Tables'!$B$24+MIN(MAX(MAX(H668,0)-'Tax Tables'!$B$23,0),'Tax Tables'!$B$25)*'Tax Tables'!$B$26))*Calculator!$B$11,Calculator!$B$12)</f>
        <v>5737.5</v>
      </c>
      <c r="J668" s="11" t="n">
        <f aca="false">MAX(H668,0)-I668</f>
        <v>66762.5</v>
      </c>
      <c r="K668" s="11" t="n">
        <f aca="false">MIN(IF(A668&gt;0,Calculator!$B$13,0)+E668+Calculator!$B$14,'Tax Tables'!$B$36)</f>
        <v>1000</v>
      </c>
      <c r="L668" s="11" t="n">
        <f aca="false">MAX(A668-K668,0)</f>
        <v>326500</v>
      </c>
      <c r="M668" s="11" t="n">
        <f aca="false">SUMPRODUCT((L668&gt;'Tax Tables'!$A$5:$A$17)*(L668-'Tax Tables'!$A$5:$A$17)*'Tax Tables'!$C$5:$C$17)</f>
        <v>45980</v>
      </c>
      <c r="N668" s="11" t="n">
        <f aca="false">IF(H668&lt;0,-1E+099,A668-E668-M668+J668+(E668+F668)*Calculator!$B$9)</f>
        <v>348282.5</v>
      </c>
      <c r="O668" s="2"/>
      <c r="P668" s="11" t="n">
        <f aca="false">655*$B$3</f>
        <v>327500</v>
      </c>
      <c r="Q668" s="11" t="n">
        <f aca="false">MIN(P668,'Tax Tables'!$B$31*'Tax Tables'!$B$32)</f>
        <v>96000</v>
      </c>
      <c r="R668" s="11" t="n">
        <f aca="false">P668-Q668</f>
        <v>231500</v>
      </c>
      <c r="S668" s="11" t="n">
        <f aca="false">IF(Calculator!$B$6="Yes",MIN(Q668,'Tax Tables'!$B$31*'Tax Tables'!$B$32),0)</f>
        <v>96000</v>
      </c>
      <c r="T668" s="11" t="n">
        <f aca="false">S668*Calculator!$B$7</f>
        <v>19200</v>
      </c>
      <c r="U668" s="11" t="n">
        <f aca="false">S668*Calculator!$B$8</f>
        <v>16320</v>
      </c>
      <c r="V668" s="11" t="n">
        <f aca="false">IF(Q668&gt;0,'Tax Tables'!$B$32*MIN(MAX(Q668/'Tax Tables'!$B$32*'Tax Tables'!$B$33,'Tax Tables'!$B$34),'Tax Tables'!$B$35),0)</f>
        <v>135</v>
      </c>
      <c r="W668" s="11" t="n">
        <f aca="false">Calculator!$B$5-P668-U668-V668</f>
        <v>56045</v>
      </c>
      <c r="X668" s="11" t="n">
        <f aca="false">'Tax Tables'!$B$22*(MAX(W668,0)-IF(Calculator!$B$10="Yes",MIN(MAX(W668,0),'Tax Tables'!$B$27)*'Tax Tables'!$B$28+MIN(MAX(MAX(W668,0)-'Tax Tables'!$B$27,0),'Tax Tables'!$B$29)*'Tax Tables'!$B$30,MIN(MAX(W668,0),'Tax Tables'!$B$23)*'Tax Tables'!$B$24+MIN(MAX(MAX(W668,0)-'Tax Tables'!$B$23,0),'Tax Tables'!$B$25)*'Tax Tables'!$B$26))*1-MIN('Tax Tables'!$B$22*(MAX(W668,0)-IF(Calculator!$B$10="Yes",MIN(MAX(W668,0),'Tax Tables'!$B$27)*'Tax Tables'!$B$28+MIN(MAX(MAX(W668,0)-'Tax Tables'!$B$27,0),'Tax Tables'!$B$29)*'Tax Tables'!$B$30,MIN(MAX(W668,0),'Tax Tables'!$B$23)*'Tax Tables'!$B$24+MIN(MAX(MAX(W668,0)-'Tax Tables'!$B$23,0),'Tax Tables'!$B$25)*'Tax Tables'!$B$26))*Calculator!$B$11,Calculator!$B$12)</f>
        <v>4338.825</v>
      </c>
      <c r="Y668" s="11" t="n">
        <f aca="false">MAX(W668,0)-X668</f>
        <v>51706.175</v>
      </c>
      <c r="Z668" s="11" t="n">
        <f aca="false">MIN(IF(P668&gt;0,Calculator!$B$13,0)+T668+Calculator!$B$14,'Tax Tables'!$B$36)</f>
        <v>20200</v>
      </c>
      <c r="AA668" s="11" t="n">
        <f aca="false">MAX(P668-Z668,0)</f>
        <v>307300</v>
      </c>
      <c r="AB668" s="11" t="n">
        <f aca="false">SUMPRODUCT((AA668&gt;'Tax Tables'!$A$5:$A$17)*(AA668-'Tax Tables'!$A$5:$A$17)*'Tax Tables'!$C$5:$C$17)</f>
        <v>42010</v>
      </c>
      <c r="AC668" s="11" t="n">
        <f aca="false">IF(W668&lt;0,-1E+099,P668-T668-AB668+Y668+(T668+U668)*Calculator!$B$9)</f>
        <v>353516.175</v>
      </c>
    </row>
    <row r="669" customFormat="false" ht="15" hidden="false" customHeight="false" outlineLevel="0" collapsed="false">
      <c r="A669" s="11" t="n">
        <f aca="false">656*$B$3</f>
        <v>328000</v>
      </c>
      <c r="B669" s="11" t="n">
        <f aca="false">0</f>
        <v>0</v>
      </c>
      <c r="C669" s="11" t="n">
        <f aca="false">A669-B669</f>
        <v>328000</v>
      </c>
      <c r="D669" s="11" t="n">
        <f aca="false">IF(Calculator!$B$6="Yes",MIN(B669,'Tax Tables'!$B$31*'Tax Tables'!$B$32),0)</f>
        <v>0</v>
      </c>
      <c r="E669" s="11" t="n">
        <f aca="false">D669*Calculator!$B$7</f>
        <v>0</v>
      </c>
      <c r="F669" s="11" t="n">
        <f aca="false">D669*Calculator!$B$8</f>
        <v>0</v>
      </c>
      <c r="G669" s="11" t="n">
        <f aca="false">IF(B669&gt;0,'Tax Tables'!$B$32*MIN(MAX(B669/'Tax Tables'!$B$32*'Tax Tables'!$B$33,'Tax Tables'!$B$34),'Tax Tables'!$B$35),0)</f>
        <v>0</v>
      </c>
      <c r="H669" s="11" t="n">
        <f aca="false">Calculator!$B$5-A669-F669-G669</f>
        <v>72000</v>
      </c>
      <c r="I669" s="11" t="n">
        <f aca="false">'Tax Tables'!$B$22*(MAX(H669,0)-IF(Calculator!$B$10="Yes",MIN(MAX(H669,0),'Tax Tables'!$B$27)*'Tax Tables'!$B$28+MIN(MAX(MAX(H669,0)-'Tax Tables'!$B$27,0),'Tax Tables'!$B$29)*'Tax Tables'!$B$30,MIN(MAX(H669,0),'Tax Tables'!$B$23)*'Tax Tables'!$B$24+MIN(MAX(MAX(H669,0)-'Tax Tables'!$B$23,0),'Tax Tables'!$B$25)*'Tax Tables'!$B$26))*1-MIN('Tax Tables'!$B$22*(MAX(H669,0)-IF(Calculator!$B$10="Yes",MIN(MAX(H669,0),'Tax Tables'!$B$27)*'Tax Tables'!$B$28+MIN(MAX(MAX(H669,0)-'Tax Tables'!$B$27,0),'Tax Tables'!$B$29)*'Tax Tables'!$B$30,MIN(MAX(H669,0),'Tax Tables'!$B$23)*'Tax Tables'!$B$24+MIN(MAX(MAX(H669,0)-'Tax Tables'!$B$23,0),'Tax Tables'!$B$25)*'Tax Tables'!$B$26))*Calculator!$B$11,Calculator!$B$12)</f>
        <v>5695</v>
      </c>
      <c r="J669" s="11" t="n">
        <f aca="false">MAX(H669,0)-I669</f>
        <v>66305</v>
      </c>
      <c r="K669" s="11" t="n">
        <f aca="false">MIN(IF(A669&gt;0,Calculator!$B$13,0)+E669+Calculator!$B$14,'Tax Tables'!$B$36)</f>
        <v>1000</v>
      </c>
      <c r="L669" s="11" t="n">
        <f aca="false">MAX(A669-K669,0)</f>
        <v>327000</v>
      </c>
      <c r="M669" s="11" t="n">
        <f aca="false">SUMPRODUCT((L669&gt;'Tax Tables'!$A$5:$A$17)*(L669-'Tax Tables'!$A$5:$A$17)*'Tax Tables'!$C$5:$C$17)</f>
        <v>46090</v>
      </c>
      <c r="N669" s="11" t="n">
        <f aca="false">IF(H669&lt;0,-1E+099,A669-E669-M669+J669+(E669+F669)*Calculator!$B$9)</f>
        <v>348215</v>
      </c>
      <c r="O669" s="2"/>
      <c r="P669" s="11" t="n">
        <f aca="false">656*$B$3</f>
        <v>328000</v>
      </c>
      <c r="Q669" s="11" t="n">
        <f aca="false">MIN(P669,'Tax Tables'!$B$31*'Tax Tables'!$B$32)</f>
        <v>96000</v>
      </c>
      <c r="R669" s="11" t="n">
        <f aca="false">P669-Q669</f>
        <v>232000</v>
      </c>
      <c r="S669" s="11" t="n">
        <f aca="false">IF(Calculator!$B$6="Yes",MIN(Q669,'Tax Tables'!$B$31*'Tax Tables'!$B$32),0)</f>
        <v>96000</v>
      </c>
      <c r="T669" s="11" t="n">
        <f aca="false">S669*Calculator!$B$7</f>
        <v>19200</v>
      </c>
      <c r="U669" s="11" t="n">
        <f aca="false">S669*Calculator!$B$8</f>
        <v>16320</v>
      </c>
      <c r="V669" s="11" t="n">
        <f aca="false">IF(Q669&gt;0,'Tax Tables'!$B$32*MIN(MAX(Q669/'Tax Tables'!$B$32*'Tax Tables'!$B$33,'Tax Tables'!$B$34),'Tax Tables'!$B$35),0)</f>
        <v>135</v>
      </c>
      <c r="W669" s="11" t="n">
        <f aca="false">Calculator!$B$5-P669-U669-V669</f>
        <v>55545</v>
      </c>
      <c r="X669" s="11" t="n">
        <f aca="false">'Tax Tables'!$B$22*(MAX(W669,0)-IF(Calculator!$B$10="Yes",MIN(MAX(W669,0),'Tax Tables'!$B$27)*'Tax Tables'!$B$28+MIN(MAX(MAX(W669,0)-'Tax Tables'!$B$27,0),'Tax Tables'!$B$29)*'Tax Tables'!$B$30,MIN(MAX(W669,0),'Tax Tables'!$B$23)*'Tax Tables'!$B$24+MIN(MAX(MAX(W669,0)-'Tax Tables'!$B$23,0),'Tax Tables'!$B$25)*'Tax Tables'!$B$26))*1-MIN('Tax Tables'!$B$22*(MAX(W669,0)-IF(Calculator!$B$10="Yes",MIN(MAX(W669,0),'Tax Tables'!$B$27)*'Tax Tables'!$B$28+MIN(MAX(MAX(W669,0)-'Tax Tables'!$B$27,0),'Tax Tables'!$B$29)*'Tax Tables'!$B$30,MIN(MAX(W669,0),'Tax Tables'!$B$23)*'Tax Tables'!$B$24+MIN(MAX(MAX(W669,0)-'Tax Tables'!$B$23,0),'Tax Tables'!$B$25)*'Tax Tables'!$B$26))*Calculator!$B$11,Calculator!$B$12)</f>
        <v>4296.325</v>
      </c>
      <c r="Y669" s="11" t="n">
        <f aca="false">MAX(W669,0)-X669</f>
        <v>51248.675</v>
      </c>
      <c r="Z669" s="11" t="n">
        <f aca="false">MIN(IF(P669&gt;0,Calculator!$B$13,0)+T669+Calculator!$B$14,'Tax Tables'!$B$36)</f>
        <v>20200</v>
      </c>
      <c r="AA669" s="11" t="n">
        <f aca="false">MAX(P669-Z669,0)</f>
        <v>307800</v>
      </c>
      <c r="AB669" s="11" t="n">
        <f aca="false">SUMPRODUCT((AA669&gt;'Tax Tables'!$A$5:$A$17)*(AA669-'Tax Tables'!$A$5:$A$17)*'Tax Tables'!$C$5:$C$17)</f>
        <v>42110</v>
      </c>
      <c r="AC669" s="11" t="n">
        <f aca="false">IF(W669&lt;0,-1E+099,P669-T669-AB669+Y669+(T669+U669)*Calculator!$B$9)</f>
        <v>353458.675</v>
      </c>
    </row>
    <row r="670" customFormat="false" ht="15" hidden="false" customHeight="false" outlineLevel="0" collapsed="false">
      <c r="A670" s="11" t="n">
        <f aca="false">657*$B$3</f>
        <v>328500</v>
      </c>
      <c r="B670" s="11" t="n">
        <f aca="false">0</f>
        <v>0</v>
      </c>
      <c r="C670" s="11" t="n">
        <f aca="false">A670-B670</f>
        <v>328500</v>
      </c>
      <c r="D670" s="11" t="n">
        <f aca="false">IF(Calculator!$B$6="Yes",MIN(B670,'Tax Tables'!$B$31*'Tax Tables'!$B$32),0)</f>
        <v>0</v>
      </c>
      <c r="E670" s="11" t="n">
        <f aca="false">D670*Calculator!$B$7</f>
        <v>0</v>
      </c>
      <c r="F670" s="11" t="n">
        <f aca="false">D670*Calculator!$B$8</f>
        <v>0</v>
      </c>
      <c r="G670" s="11" t="n">
        <f aca="false">IF(B670&gt;0,'Tax Tables'!$B$32*MIN(MAX(B670/'Tax Tables'!$B$32*'Tax Tables'!$B$33,'Tax Tables'!$B$34),'Tax Tables'!$B$35),0)</f>
        <v>0</v>
      </c>
      <c r="H670" s="11" t="n">
        <f aca="false">Calculator!$B$5-A670-F670-G670</f>
        <v>71500</v>
      </c>
      <c r="I670" s="11" t="n">
        <f aca="false">'Tax Tables'!$B$22*(MAX(H670,0)-IF(Calculator!$B$10="Yes",MIN(MAX(H670,0),'Tax Tables'!$B$27)*'Tax Tables'!$B$28+MIN(MAX(MAX(H670,0)-'Tax Tables'!$B$27,0),'Tax Tables'!$B$29)*'Tax Tables'!$B$30,MIN(MAX(H670,0),'Tax Tables'!$B$23)*'Tax Tables'!$B$24+MIN(MAX(MAX(H670,0)-'Tax Tables'!$B$23,0),'Tax Tables'!$B$25)*'Tax Tables'!$B$26))*1-MIN('Tax Tables'!$B$22*(MAX(H670,0)-IF(Calculator!$B$10="Yes",MIN(MAX(H670,0),'Tax Tables'!$B$27)*'Tax Tables'!$B$28+MIN(MAX(MAX(H670,0)-'Tax Tables'!$B$27,0),'Tax Tables'!$B$29)*'Tax Tables'!$B$30,MIN(MAX(H670,0),'Tax Tables'!$B$23)*'Tax Tables'!$B$24+MIN(MAX(MAX(H670,0)-'Tax Tables'!$B$23,0),'Tax Tables'!$B$25)*'Tax Tables'!$B$26))*Calculator!$B$11,Calculator!$B$12)</f>
        <v>5652.5</v>
      </c>
      <c r="J670" s="11" t="n">
        <f aca="false">MAX(H670,0)-I670</f>
        <v>65847.5</v>
      </c>
      <c r="K670" s="11" t="n">
        <f aca="false">MIN(IF(A670&gt;0,Calculator!$B$13,0)+E670+Calculator!$B$14,'Tax Tables'!$B$36)</f>
        <v>1000</v>
      </c>
      <c r="L670" s="11" t="n">
        <f aca="false">MAX(A670-K670,0)</f>
        <v>327500</v>
      </c>
      <c r="M670" s="11" t="n">
        <f aca="false">SUMPRODUCT((L670&gt;'Tax Tables'!$A$5:$A$17)*(L670-'Tax Tables'!$A$5:$A$17)*'Tax Tables'!$C$5:$C$17)</f>
        <v>46200</v>
      </c>
      <c r="N670" s="11" t="n">
        <f aca="false">IF(H670&lt;0,-1E+099,A670-E670-M670+J670+(E670+F670)*Calculator!$B$9)</f>
        <v>348147.5</v>
      </c>
      <c r="O670" s="2"/>
      <c r="P670" s="11" t="n">
        <f aca="false">657*$B$3</f>
        <v>328500</v>
      </c>
      <c r="Q670" s="11" t="n">
        <f aca="false">MIN(P670,'Tax Tables'!$B$31*'Tax Tables'!$B$32)</f>
        <v>96000</v>
      </c>
      <c r="R670" s="11" t="n">
        <f aca="false">P670-Q670</f>
        <v>232500</v>
      </c>
      <c r="S670" s="11" t="n">
        <f aca="false">IF(Calculator!$B$6="Yes",MIN(Q670,'Tax Tables'!$B$31*'Tax Tables'!$B$32),0)</f>
        <v>96000</v>
      </c>
      <c r="T670" s="11" t="n">
        <f aca="false">S670*Calculator!$B$7</f>
        <v>19200</v>
      </c>
      <c r="U670" s="11" t="n">
        <f aca="false">S670*Calculator!$B$8</f>
        <v>16320</v>
      </c>
      <c r="V670" s="11" t="n">
        <f aca="false">IF(Q670&gt;0,'Tax Tables'!$B$32*MIN(MAX(Q670/'Tax Tables'!$B$32*'Tax Tables'!$B$33,'Tax Tables'!$B$34),'Tax Tables'!$B$35),0)</f>
        <v>135</v>
      </c>
      <c r="W670" s="11" t="n">
        <f aca="false">Calculator!$B$5-P670-U670-V670</f>
        <v>55045</v>
      </c>
      <c r="X670" s="11" t="n">
        <f aca="false">'Tax Tables'!$B$22*(MAX(W670,0)-IF(Calculator!$B$10="Yes",MIN(MAX(W670,0),'Tax Tables'!$B$27)*'Tax Tables'!$B$28+MIN(MAX(MAX(W670,0)-'Tax Tables'!$B$27,0),'Tax Tables'!$B$29)*'Tax Tables'!$B$30,MIN(MAX(W670,0),'Tax Tables'!$B$23)*'Tax Tables'!$B$24+MIN(MAX(MAX(W670,0)-'Tax Tables'!$B$23,0),'Tax Tables'!$B$25)*'Tax Tables'!$B$26))*1-MIN('Tax Tables'!$B$22*(MAX(W670,0)-IF(Calculator!$B$10="Yes",MIN(MAX(W670,0),'Tax Tables'!$B$27)*'Tax Tables'!$B$28+MIN(MAX(MAX(W670,0)-'Tax Tables'!$B$27,0),'Tax Tables'!$B$29)*'Tax Tables'!$B$30,MIN(MAX(W670,0),'Tax Tables'!$B$23)*'Tax Tables'!$B$24+MIN(MAX(MAX(W670,0)-'Tax Tables'!$B$23,0),'Tax Tables'!$B$25)*'Tax Tables'!$B$26))*Calculator!$B$11,Calculator!$B$12)</f>
        <v>4253.825</v>
      </c>
      <c r="Y670" s="11" t="n">
        <f aca="false">MAX(W670,0)-X670</f>
        <v>50791.175</v>
      </c>
      <c r="Z670" s="11" t="n">
        <f aca="false">MIN(IF(P670&gt;0,Calculator!$B$13,0)+T670+Calculator!$B$14,'Tax Tables'!$B$36)</f>
        <v>20200</v>
      </c>
      <c r="AA670" s="11" t="n">
        <f aca="false">MAX(P670-Z670,0)</f>
        <v>308300</v>
      </c>
      <c r="AB670" s="11" t="n">
        <f aca="false">SUMPRODUCT((AA670&gt;'Tax Tables'!$A$5:$A$17)*(AA670-'Tax Tables'!$A$5:$A$17)*'Tax Tables'!$C$5:$C$17)</f>
        <v>42210</v>
      </c>
      <c r="AC670" s="11" t="n">
        <f aca="false">IF(W670&lt;0,-1E+099,P670-T670-AB670+Y670+(T670+U670)*Calculator!$B$9)</f>
        <v>353401.175</v>
      </c>
    </row>
    <row r="671" customFormat="false" ht="15" hidden="false" customHeight="false" outlineLevel="0" collapsed="false">
      <c r="A671" s="11" t="n">
        <f aca="false">658*$B$3</f>
        <v>329000</v>
      </c>
      <c r="B671" s="11" t="n">
        <f aca="false">0</f>
        <v>0</v>
      </c>
      <c r="C671" s="11" t="n">
        <f aca="false">A671-B671</f>
        <v>329000</v>
      </c>
      <c r="D671" s="11" t="n">
        <f aca="false">IF(Calculator!$B$6="Yes",MIN(B671,'Tax Tables'!$B$31*'Tax Tables'!$B$32),0)</f>
        <v>0</v>
      </c>
      <c r="E671" s="11" t="n">
        <f aca="false">D671*Calculator!$B$7</f>
        <v>0</v>
      </c>
      <c r="F671" s="11" t="n">
        <f aca="false">D671*Calculator!$B$8</f>
        <v>0</v>
      </c>
      <c r="G671" s="11" t="n">
        <f aca="false">IF(B671&gt;0,'Tax Tables'!$B$32*MIN(MAX(B671/'Tax Tables'!$B$32*'Tax Tables'!$B$33,'Tax Tables'!$B$34),'Tax Tables'!$B$35),0)</f>
        <v>0</v>
      </c>
      <c r="H671" s="11" t="n">
        <f aca="false">Calculator!$B$5-A671-F671-G671</f>
        <v>71000</v>
      </c>
      <c r="I671" s="11" t="n">
        <f aca="false">'Tax Tables'!$B$22*(MAX(H671,0)-IF(Calculator!$B$10="Yes",MIN(MAX(H671,0),'Tax Tables'!$B$27)*'Tax Tables'!$B$28+MIN(MAX(MAX(H671,0)-'Tax Tables'!$B$27,0),'Tax Tables'!$B$29)*'Tax Tables'!$B$30,MIN(MAX(H671,0),'Tax Tables'!$B$23)*'Tax Tables'!$B$24+MIN(MAX(MAX(H671,0)-'Tax Tables'!$B$23,0),'Tax Tables'!$B$25)*'Tax Tables'!$B$26))*1-MIN('Tax Tables'!$B$22*(MAX(H671,0)-IF(Calculator!$B$10="Yes",MIN(MAX(H671,0),'Tax Tables'!$B$27)*'Tax Tables'!$B$28+MIN(MAX(MAX(H671,0)-'Tax Tables'!$B$27,0),'Tax Tables'!$B$29)*'Tax Tables'!$B$30,MIN(MAX(H671,0),'Tax Tables'!$B$23)*'Tax Tables'!$B$24+MIN(MAX(MAX(H671,0)-'Tax Tables'!$B$23,0),'Tax Tables'!$B$25)*'Tax Tables'!$B$26))*Calculator!$B$11,Calculator!$B$12)</f>
        <v>5610</v>
      </c>
      <c r="J671" s="11" t="n">
        <f aca="false">MAX(H671,0)-I671</f>
        <v>65390</v>
      </c>
      <c r="K671" s="11" t="n">
        <f aca="false">MIN(IF(A671&gt;0,Calculator!$B$13,0)+E671+Calculator!$B$14,'Tax Tables'!$B$36)</f>
        <v>1000</v>
      </c>
      <c r="L671" s="11" t="n">
        <f aca="false">MAX(A671-K671,0)</f>
        <v>328000</v>
      </c>
      <c r="M671" s="11" t="n">
        <f aca="false">SUMPRODUCT((L671&gt;'Tax Tables'!$A$5:$A$17)*(L671-'Tax Tables'!$A$5:$A$17)*'Tax Tables'!$C$5:$C$17)</f>
        <v>46310</v>
      </c>
      <c r="N671" s="11" t="n">
        <f aca="false">IF(H671&lt;0,-1E+099,A671-E671-M671+J671+(E671+F671)*Calculator!$B$9)</f>
        <v>348080</v>
      </c>
      <c r="O671" s="2"/>
      <c r="P671" s="11" t="n">
        <f aca="false">658*$B$3</f>
        <v>329000</v>
      </c>
      <c r="Q671" s="11" t="n">
        <f aca="false">MIN(P671,'Tax Tables'!$B$31*'Tax Tables'!$B$32)</f>
        <v>96000</v>
      </c>
      <c r="R671" s="11" t="n">
        <f aca="false">P671-Q671</f>
        <v>233000</v>
      </c>
      <c r="S671" s="11" t="n">
        <f aca="false">IF(Calculator!$B$6="Yes",MIN(Q671,'Tax Tables'!$B$31*'Tax Tables'!$B$32),0)</f>
        <v>96000</v>
      </c>
      <c r="T671" s="11" t="n">
        <f aca="false">S671*Calculator!$B$7</f>
        <v>19200</v>
      </c>
      <c r="U671" s="11" t="n">
        <f aca="false">S671*Calculator!$B$8</f>
        <v>16320</v>
      </c>
      <c r="V671" s="11" t="n">
        <f aca="false">IF(Q671&gt;0,'Tax Tables'!$B$32*MIN(MAX(Q671/'Tax Tables'!$B$32*'Tax Tables'!$B$33,'Tax Tables'!$B$34),'Tax Tables'!$B$35),0)</f>
        <v>135</v>
      </c>
      <c r="W671" s="11" t="n">
        <f aca="false">Calculator!$B$5-P671-U671-V671</f>
        <v>54545</v>
      </c>
      <c r="X671" s="11" t="n">
        <f aca="false">'Tax Tables'!$B$22*(MAX(W671,0)-IF(Calculator!$B$10="Yes",MIN(MAX(W671,0),'Tax Tables'!$B$27)*'Tax Tables'!$B$28+MIN(MAX(MAX(W671,0)-'Tax Tables'!$B$27,0),'Tax Tables'!$B$29)*'Tax Tables'!$B$30,MIN(MAX(W671,0),'Tax Tables'!$B$23)*'Tax Tables'!$B$24+MIN(MAX(MAX(W671,0)-'Tax Tables'!$B$23,0),'Tax Tables'!$B$25)*'Tax Tables'!$B$26))*1-MIN('Tax Tables'!$B$22*(MAX(W671,0)-IF(Calculator!$B$10="Yes",MIN(MAX(W671,0),'Tax Tables'!$B$27)*'Tax Tables'!$B$28+MIN(MAX(MAX(W671,0)-'Tax Tables'!$B$27,0),'Tax Tables'!$B$29)*'Tax Tables'!$B$30,MIN(MAX(W671,0),'Tax Tables'!$B$23)*'Tax Tables'!$B$24+MIN(MAX(MAX(W671,0)-'Tax Tables'!$B$23,0),'Tax Tables'!$B$25)*'Tax Tables'!$B$26))*Calculator!$B$11,Calculator!$B$12)</f>
        <v>4211.325</v>
      </c>
      <c r="Y671" s="11" t="n">
        <f aca="false">MAX(W671,0)-X671</f>
        <v>50333.675</v>
      </c>
      <c r="Z671" s="11" t="n">
        <f aca="false">MIN(IF(P671&gt;0,Calculator!$B$13,0)+T671+Calculator!$B$14,'Tax Tables'!$B$36)</f>
        <v>20200</v>
      </c>
      <c r="AA671" s="11" t="n">
        <f aca="false">MAX(P671-Z671,0)</f>
        <v>308800</v>
      </c>
      <c r="AB671" s="11" t="n">
        <f aca="false">SUMPRODUCT((AA671&gt;'Tax Tables'!$A$5:$A$17)*(AA671-'Tax Tables'!$A$5:$A$17)*'Tax Tables'!$C$5:$C$17)</f>
        <v>42310</v>
      </c>
      <c r="AC671" s="11" t="n">
        <f aca="false">IF(W671&lt;0,-1E+099,P671-T671-AB671+Y671+(T671+U671)*Calculator!$B$9)</f>
        <v>353343.675</v>
      </c>
    </row>
    <row r="672" customFormat="false" ht="15" hidden="false" customHeight="false" outlineLevel="0" collapsed="false">
      <c r="A672" s="11" t="n">
        <f aca="false">659*$B$3</f>
        <v>329500</v>
      </c>
      <c r="B672" s="11" t="n">
        <f aca="false">0</f>
        <v>0</v>
      </c>
      <c r="C672" s="11" t="n">
        <f aca="false">A672-B672</f>
        <v>329500</v>
      </c>
      <c r="D672" s="11" t="n">
        <f aca="false">IF(Calculator!$B$6="Yes",MIN(B672,'Tax Tables'!$B$31*'Tax Tables'!$B$32),0)</f>
        <v>0</v>
      </c>
      <c r="E672" s="11" t="n">
        <f aca="false">D672*Calculator!$B$7</f>
        <v>0</v>
      </c>
      <c r="F672" s="11" t="n">
        <f aca="false">D672*Calculator!$B$8</f>
        <v>0</v>
      </c>
      <c r="G672" s="11" t="n">
        <f aca="false">IF(B672&gt;0,'Tax Tables'!$B$32*MIN(MAX(B672/'Tax Tables'!$B$32*'Tax Tables'!$B$33,'Tax Tables'!$B$34),'Tax Tables'!$B$35),0)</f>
        <v>0</v>
      </c>
      <c r="H672" s="11" t="n">
        <f aca="false">Calculator!$B$5-A672-F672-G672</f>
        <v>70500</v>
      </c>
      <c r="I672" s="11" t="n">
        <f aca="false">'Tax Tables'!$B$22*(MAX(H672,0)-IF(Calculator!$B$10="Yes",MIN(MAX(H672,0),'Tax Tables'!$B$27)*'Tax Tables'!$B$28+MIN(MAX(MAX(H672,0)-'Tax Tables'!$B$27,0),'Tax Tables'!$B$29)*'Tax Tables'!$B$30,MIN(MAX(H672,0),'Tax Tables'!$B$23)*'Tax Tables'!$B$24+MIN(MAX(MAX(H672,0)-'Tax Tables'!$B$23,0),'Tax Tables'!$B$25)*'Tax Tables'!$B$26))*1-MIN('Tax Tables'!$B$22*(MAX(H672,0)-IF(Calculator!$B$10="Yes",MIN(MAX(H672,0),'Tax Tables'!$B$27)*'Tax Tables'!$B$28+MIN(MAX(MAX(H672,0)-'Tax Tables'!$B$27,0),'Tax Tables'!$B$29)*'Tax Tables'!$B$30,MIN(MAX(H672,0),'Tax Tables'!$B$23)*'Tax Tables'!$B$24+MIN(MAX(MAX(H672,0)-'Tax Tables'!$B$23,0),'Tax Tables'!$B$25)*'Tax Tables'!$B$26))*Calculator!$B$11,Calculator!$B$12)</f>
        <v>5567.5</v>
      </c>
      <c r="J672" s="11" t="n">
        <f aca="false">MAX(H672,0)-I672</f>
        <v>64932.5</v>
      </c>
      <c r="K672" s="11" t="n">
        <f aca="false">MIN(IF(A672&gt;0,Calculator!$B$13,0)+E672+Calculator!$B$14,'Tax Tables'!$B$36)</f>
        <v>1000</v>
      </c>
      <c r="L672" s="11" t="n">
        <f aca="false">MAX(A672-K672,0)</f>
        <v>328500</v>
      </c>
      <c r="M672" s="11" t="n">
        <f aca="false">SUMPRODUCT((L672&gt;'Tax Tables'!$A$5:$A$17)*(L672-'Tax Tables'!$A$5:$A$17)*'Tax Tables'!$C$5:$C$17)</f>
        <v>46420</v>
      </c>
      <c r="N672" s="11" t="n">
        <f aca="false">IF(H672&lt;0,-1E+099,A672-E672-M672+J672+(E672+F672)*Calculator!$B$9)</f>
        <v>348012.5</v>
      </c>
      <c r="O672" s="2"/>
      <c r="P672" s="11" t="n">
        <f aca="false">659*$B$3</f>
        <v>329500</v>
      </c>
      <c r="Q672" s="11" t="n">
        <f aca="false">MIN(P672,'Tax Tables'!$B$31*'Tax Tables'!$B$32)</f>
        <v>96000</v>
      </c>
      <c r="R672" s="11" t="n">
        <f aca="false">P672-Q672</f>
        <v>233500</v>
      </c>
      <c r="S672" s="11" t="n">
        <f aca="false">IF(Calculator!$B$6="Yes",MIN(Q672,'Tax Tables'!$B$31*'Tax Tables'!$B$32),0)</f>
        <v>96000</v>
      </c>
      <c r="T672" s="11" t="n">
        <f aca="false">S672*Calculator!$B$7</f>
        <v>19200</v>
      </c>
      <c r="U672" s="11" t="n">
        <f aca="false">S672*Calculator!$B$8</f>
        <v>16320</v>
      </c>
      <c r="V672" s="11" t="n">
        <f aca="false">IF(Q672&gt;0,'Tax Tables'!$B$32*MIN(MAX(Q672/'Tax Tables'!$B$32*'Tax Tables'!$B$33,'Tax Tables'!$B$34),'Tax Tables'!$B$35),0)</f>
        <v>135</v>
      </c>
      <c r="W672" s="11" t="n">
        <f aca="false">Calculator!$B$5-P672-U672-V672</f>
        <v>54045</v>
      </c>
      <c r="X672" s="11" t="n">
        <f aca="false">'Tax Tables'!$B$22*(MAX(W672,0)-IF(Calculator!$B$10="Yes",MIN(MAX(W672,0),'Tax Tables'!$B$27)*'Tax Tables'!$B$28+MIN(MAX(MAX(W672,0)-'Tax Tables'!$B$27,0),'Tax Tables'!$B$29)*'Tax Tables'!$B$30,MIN(MAX(W672,0),'Tax Tables'!$B$23)*'Tax Tables'!$B$24+MIN(MAX(MAX(W672,0)-'Tax Tables'!$B$23,0),'Tax Tables'!$B$25)*'Tax Tables'!$B$26))*1-MIN('Tax Tables'!$B$22*(MAX(W672,0)-IF(Calculator!$B$10="Yes",MIN(MAX(W672,0),'Tax Tables'!$B$27)*'Tax Tables'!$B$28+MIN(MAX(MAX(W672,0)-'Tax Tables'!$B$27,0),'Tax Tables'!$B$29)*'Tax Tables'!$B$30,MIN(MAX(W672,0),'Tax Tables'!$B$23)*'Tax Tables'!$B$24+MIN(MAX(MAX(W672,0)-'Tax Tables'!$B$23,0),'Tax Tables'!$B$25)*'Tax Tables'!$B$26))*Calculator!$B$11,Calculator!$B$12)</f>
        <v>4168.825</v>
      </c>
      <c r="Y672" s="11" t="n">
        <f aca="false">MAX(W672,0)-X672</f>
        <v>49876.175</v>
      </c>
      <c r="Z672" s="11" t="n">
        <f aca="false">MIN(IF(P672&gt;0,Calculator!$B$13,0)+T672+Calculator!$B$14,'Tax Tables'!$B$36)</f>
        <v>20200</v>
      </c>
      <c r="AA672" s="11" t="n">
        <f aca="false">MAX(P672-Z672,0)</f>
        <v>309300</v>
      </c>
      <c r="AB672" s="11" t="n">
        <f aca="false">SUMPRODUCT((AA672&gt;'Tax Tables'!$A$5:$A$17)*(AA672-'Tax Tables'!$A$5:$A$17)*'Tax Tables'!$C$5:$C$17)</f>
        <v>42410</v>
      </c>
      <c r="AC672" s="11" t="n">
        <f aca="false">IF(W672&lt;0,-1E+099,P672-T672-AB672+Y672+(T672+U672)*Calculator!$B$9)</f>
        <v>353286.175</v>
      </c>
    </row>
    <row r="673" customFormat="false" ht="15" hidden="false" customHeight="false" outlineLevel="0" collapsed="false">
      <c r="A673" s="11" t="n">
        <f aca="false">660*$B$3</f>
        <v>330000</v>
      </c>
      <c r="B673" s="11" t="n">
        <f aca="false">0</f>
        <v>0</v>
      </c>
      <c r="C673" s="11" t="n">
        <f aca="false">A673-B673</f>
        <v>330000</v>
      </c>
      <c r="D673" s="11" t="n">
        <f aca="false">IF(Calculator!$B$6="Yes",MIN(B673,'Tax Tables'!$B$31*'Tax Tables'!$B$32),0)</f>
        <v>0</v>
      </c>
      <c r="E673" s="11" t="n">
        <f aca="false">D673*Calculator!$B$7</f>
        <v>0</v>
      </c>
      <c r="F673" s="11" t="n">
        <f aca="false">D673*Calculator!$B$8</f>
        <v>0</v>
      </c>
      <c r="G673" s="11" t="n">
        <f aca="false">IF(B673&gt;0,'Tax Tables'!$B$32*MIN(MAX(B673/'Tax Tables'!$B$32*'Tax Tables'!$B$33,'Tax Tables'!$B$34),'Tax Tables'!$B$35),0)</f>
        <v>0</v>
      </c>
      <c r="H673" s="11" t="n">
        <f aca="false">Calculator!$B$5-A673-F673-G673</f>
        <v>70000</v>
      </c>
      <c r="I673" s="11" t="n">
        <f aca="false">'Tax Tables'!$B$22*(MAX(H673,0)-IF(Calculator!$B$10="Yes",MIN(MAX(H673,0),'Tax Tables'!$B$27)*'Tax Tables'!$B$28+MIN(MAX(MAX(H673,0)-'Tax Tables'!$B$27,0),'Tax Tables'!$B$29)*'Tax Tables'!$B$30,MIN(MAX(H673,0),'Tax Tables'!$B$23)*'Tax Tables'!$B$24+MIN(MAX(MAX(H673,0)-'Tax Tables'!$B$23,0),'Tax Tables'!$B$25)*'Tax Tables'!$B$26))*1-MIN('Tax Tables'!$B$22*(MAX(H673,0)-IF(Calculator!$B$10="Yes",MIN(MAX(H673,0),'Tax Tables'!$B$27)*'Tax Tables'!$B$28+MIN(MAX(MAX(H673,0)-'Tax Tables'!$B$27,0),'Tax Tables'!$B$29)*'Tax Tables'!$B$30,MIN(MAX(H673,0),'Tax Tables'!$B$23)*'Tax Tables'!$B$24+MIN(MAX(MAX(H673,0)-'Tax Tables'!$B$23,0),'Tax Tables'!$B$25)*'Tax Tables'!$B$26))*Calculator!$B$11,Calculator!$B$12)</f>
        <v>5525</v>
      </c>
      <c r="J673" s="11" t="n">
        <f aca="false">MAX(H673,0)-I673</f>
        <v>64475</v>
      </c>
      <c r="K673" s="11" t="n">
        <f aca="false">MIN(IF(A673&gt;0,Calculator!$B$13,0)+E673+Calculator!$B$14,'Tax Tables'!$B$36)</f>
        <v>1000</v>
      </c>
      <c r="L673" s="11" t="n">
        <f aca="false">MAX(A673-K673,0)</f>
        <v>329000</v>
      </c>
      <c r="M673" s="11" t="n">
        <f aca="false">SUMPRODUCT((L673&gt;'Tax Tables'!$A$5:$A$17)*(L673-'Tax Tables'!$A$5:$A$17)*'Tax Tables'!$C$5:$C$17)</f>
        <v>46530</v>
      </c>
      <c r="N673" s="11" t="n">
        <f aca="false">IF(H673&lt;0,-1E+099,A673-E673-M673+J673+(E673+F673)*Calculator!$B$9)</f>
        <v>347945</v>
      </c>
      <c r="O673" s="2"/>
      <c r="P673" s="11" t="n">
        <f aca="false">660*$B$3</f>
        <v>330000</v>
      </c>
      <c r="Q673" s="11" t="n">
        <f aca="false">MIN(P673,'Tax Tables'!$B$31*'Tax Tables'!$B$32)</f>
        <v>96000</v>
      </c>
      <c r="R673" s="11" t="n">
        <f aca="false">P673-Q673</f>
        <v>234000</v>
      </c>
      <c r="S673" s="11" t="n">
        <f aca="false">IF(Calculator!$B$6="Yes",MIN(Q673,'Tax Tables'!$B$31*'Tax Tables'!$B$32),0)</f>
        <v>96000</v>
      </c>
      <c r="T673" s="11" t="n">
        <f aca="false">S673*Calculator!$B$7</f>
        <v>19200</v>
      </c>
      <c r="U673" s="11" t="n">
        <f aca="false">S673*Calculator!$B$8</f>
        <v>16320</v>
      </c>
      <c r="V673" s="11" t="n">
        <f aca="false">IF(Q673&gt;0,'Tax Tables'!$B$32*MIN(MAX(Q673/'Tax Tables'!$B$32*'Tax Tables'!$B$33,'Tax Tables'!$B$34),'Tax Tables'!$B$35),0)</f>
        <v>135</v>
      </c>
      <c r="W673" s="11" t="n">
        <f aca="false">Calculator!$B$5-P673-U673-V673</f>
        <v>53545</v>
      </c>
      <c r="X673" s="11" t="n">
        <f aca="false">'Tax Tables'!$B$22*(MAX(W673,0)-IF(Calculator!$B$10="Yes",MIN(MAX(W673,0),'Tax Tables'!$B$27)*'Tax Tables'!$B$28+MIN(MAX(MAX(W673,0)-'Tax Tables'!$B$27,0),'Tax Tables'!$B$29)*'Tax Tables'!$B$30,MIN(MAX(W673,0),'Tax Tables'!$B$23)*'Tax Tables'!$B$24+MIN(MAX(MAX(W673,0)-'Tax Tables'!$B$23,0),'Tax Tables'!$B$25)*'Tax Tables'!$B$26))*1-MIN('Tax Tables'!$B$22*(MAX(W673,0)-IF(Calculator!$B$10="Yes",MIN(MAX(W673,0),'Tax Tables'!$B$27)*'Tax Tables'!$B$28+MIN(MAX(MAX(W673,0)-'Tax Tables'!$B$27,0),'Tax Tables'!$B$29)*'Tax Tables'!$B$30,MIN(MAX(W673,0),'Tax Tables'!$B$23)*'Tax Tables'!$B$24+MIN(MAX(MAX(W673,0)-'Tax Tables'!$B$23,0),'Tax Tables'!$B$25)*'Tax Tables'!$B$26))*Calculator!$B$11,Calculator!$B$12)</f>
        <v>4126.325</v>
      </c>
      <c r="Y673" s="11" t="n">
        <f aca="false">MAX(W673,0)-X673</f>
        <v>49418.675</v>
      </c>
      <c r="Z673" s="11" t="n">
        <f aca="false">MIN(IF(P673&gt;0,Calculator!$B$13,0)+T673+Calculator!$B$14,'Tax Tables'!$B$36)</f>
        <v>20200</v>
      </c>
      <c r="AA673" s="11" t="n">
        <f aca="false">MAX(P673-Z673,0)</f>
        <v>309800</v>
      </c>
      <c r="AB673" s="11" t="n">
        <f aca="false">SUMPRODUCT((AA673&gt;'Tax Tables'!$A$5:$A$17)*(AA673-'Tax Tables'!$A$5:$A$17)*'Tax Tables'!$C$5:$C$17)</f>
        <v>42510</v>
      </c>
      <c r="AC673" s="11" t="n">
        <f aca="false">IF(W673&lt;0,-1E+099,P673-T673-AB673+Y673+(T673+U673)*Calculator!$B$9)</f>
        <v>353228.675</v>
      </c>
    </row>
    <row r="674" customFormat="false" ht="15" hidden="false" customHeight="false" outlineLevel="0" collapsed="false">
      <c r="A674" s="11" t="n">
        <f aca="false">661*$B$3</f>
        <v>330500</v>
      </c>
      <c r="B674" s="11" t="n">
        <f aca="false">0</f>
        <v>0</v>
      </c>
      <c r="C674" s="11" t="n">
        <f aca="false">A674-B674</f>
        <v>330500</v>
      </c>
      <c r="D674" s="11" t="n">
        <f aca="false">IF(Calculator!$B$6="Yes",MIN(B674,'Tax Tables'!$B$31*'Tax Tables'!$B$32),0)</f>
        <v>0</v>
      </c>
      <c r="E674" s="11" t="n">
        <f aca="false">D674*Calculator!$B$7</f>
        <v>0</v>
      </c>
      <c r="F674" s="11" t="n">
        <f aca="false">D674*Calculator!$B$8</f>
        <v>0</v>
      </c>
      <c r="G674" s="11" t="n">
        <f aca="false">IF(B674&gt;0,'Tax Tables'!$B$32*MIN(MAX(B674/'Tax Tables'!$B$32*'Tax Tables'!$B$33,'Tax Tables'!$B$34),'Tax Tables'!$B$35),0)</f>
        <v>0</v>
      </c>
      <c r="H674" s="11" t="n">
        <f aca="false">Calculator!$B$5-A674-F674-G674</f>
        <v>69500</v>
      </c>
      <c r="I674" s="11" t="n">
        <f aca="false">'Tax Tables'!$B$22*(MAX(H674,0)-IF(Calculator!$B$10="Yes",MIN(MAX(H674,0),'Tax Tables'!$B$27)*'Tax Tables'!$B$28+MIN(MAX(MAX(H674,0)-'Tax Tables'!$B$27,0),'Tax Tables'!$B$29)*'Tax Tables'!$B$30,MIN(MAX(H674,0),'Tax Tables'!$B$23)*'Tax Tables'!$B$24+MIN(MAX(MAX(H674,0)-'Tax Tables'!$B$23,0),'Tax Tables'!$B$25)*'Tax Tables'!$B$26))*1-MIN('Tax Tables'!$B$22*(MAX(H674,0)-IF(Calculator!$B$10="Yes",MIN(MAX(H674,0),'Tax Tables'!$B$27)*'Tax Tables'!$B$28+MIN(MAX(MAX(H674,0)-'Tax Tables'!$B$27,0),'Tax Tables'!$B$29)*'Tax Tables'!$B$30,MIN(MAX(H674,0),'Tax Tables'!$B$23)*'Tax Tables'!$B$24+MIN(MAX(MAX(H674,0)-'Tax Tables'!$B$23,0),'Tax Tables'!$B$25)*'Tax Tables'!$B$26))*Calculator!$B$11,Calculator!$B$12)</f>
        <v>5482.5</v>
      </c>
      <c r="J674" s="11" t="n">
        <f aca="false">MAX(H674,0)-I674</f>
        <v>64017.5</v>
      </c>
      <c r="K674" s="11" t="n">
        <f aca="false">MIN(IF(A674&gt;0,Calculator!$B$13,0)+E674+Calculator!$B$14,'Tax Tables'!$B$36)</f>
        <v>1000</v>
      </c>
      <c r="L674" s="11" t="n">
        <f aca="false">MAX(A674-K674,0)</f>
        <v>329500</v>
      </c>
      <c r="M674" s="11" t="n">
        <f aca="false">SUMPRODUCT((L674&gt;'Tax Tables'!$A$5:$A$17)*(L674-'Tax Tables'!$A$5:$A$17)*'Tax Tables'!$C$5:$C$17)</f>
        <v>46640</v>
      </c>
      <c r="N674" s="11" t="n">
        <f aca="false">IF(H674&lt;0,-1E+099,A674-E674-M674+J674+(E674+F674)*Calculator!$B$9)</f>
        <v>347877.5</v>
      </c>
      <c r="O674" s="2"/>
      <c r="P674" s="11" t="n">
        <f aca="false">661*$B$3</f>
        <v>330500</v>
      </c>
      <c r="Q674" s="11" t="n">
        <f aca="false">MIN(P674,'Tax Tables'!$B$31*'Tax Tables'!$B$32)</f>
        <v>96000</v>
      </c>
      <c r="R674" s="11" t="n">
        <f aca="false">P674-Q674</f>
        <v>234500</v>
      </c>
      <c r="S674" s="11" t="n">
        <f aca="false">IF(Calculator!$B$6="Yes",MIN(Q674,'Tax Tables'!$B$31*'Tax Tables'!$B$32),0)</f>
        <v>96000</v>
      </c>
      <c r="T674" s="11" t="n">
        <f aca="false">S674*Calculator!$B$7</f>
        <v>19200</v>
      </c>
      <c r="U674" s="11" t="n">
        <f aca="false">S674*Calculator!$B$8</f>
        <v>16320</v>
      </c>
      <c r="V674" s="11" t="n">
        <f aca="false">IF(Q674&gt;0,'Tax Tables'!$B$32*MIN(MAX(Q674/'Tax Tables'!$B$32*'Tax Tables'!$B$33,'Tax Tables'!$B$34),'Tax Tables'!$B$35),0)</f>
        <v>135</v>
      </c>
      <c r="W674" s="11" t="n">
        <f aca="false">Calculator!$B$5-P674-U674-V674</f>
        <v>53045</v>
      </c>
      <c r="X674" s="11" t="n">
        <f aca="false">'Tax Tables'!$B$22*(MAX(W674,0)-IF(Calculator!$B$10="Yes",MIN(MAX(W674,0),'Tax Tables'!$B$27)*'Tax Tables'!$B$28+MIN(MAX(MAX(W674,0)-'Tax Tables'!$B$27,0),'Tax Tables'!$B$29)*'Tax Tables'!$B$30,MIN(MAX(W674,0),'Tax Tables'!$B$23)*'Tax Tables'!$B$24+MIN(MAX(MAX(W674,0)-'Tax Tables'!$B$23,0),'Tax Tables'!$B$25)*'Tax Tables'!$B$26))*1-MIN('Tax Tables'!$B$22*(MAX(W674,0)-IF(Calculator!$B$10="Yes",MIN(MAX(W674,0),'Tax Tables'!$B$27)*'Tax Tables'!$B$28+MIN(MAX(MAX(W674,0)-'Tax Tables'!$B$27,0),'Tax Tables'!$B$29)*'Tax Tables'!$B$30,MIN(MAX(W674,0),'Tax Tables'!$B$23)*'Tax Tables'!$B$24+MIN(MAX(MAX(W674,0)-'Tax Tables'!$B$23,0),'Tax Tables'!$B$25)*'Tax Tables'!$B$26))*Calculator!$B$11,Calculator!$B$12)</f>
        <v>4083.825</v>
      </c>
      <c r="Y674" s="11" t="n">
        <f aca="false">MAX(W674,0)-X674</f>
        <v>48961.175</v>
      </c>
      <c r="Z674" s="11" t="n">
        <f aca="false">MIN(IF(P674&gt;0,Calculator!$B$13,0)+T674+Calculator!$B$14,'Tax Tables'!$B$36)</f>
        <v>20200</v>
      </c>
      <c r="AA674" s="11" t="n">
        <f aca="false">MAX(P674-Z674,0)</f>
        <v>310300</v>
      </c>
      <c r="AB674" s="11" t="n">
        <f aca="false">SUMPRODUCT((AA674&gt;'Tax Tables'!$A$5:$A$17)*(AA674-'Tax Tables'!$A$5:$A$17)*'Tax Tables'!$C$5:$C$17)</f>
        <v>42610</v>
      </c>
      <c r="AC674" s="11" t="n">
        <f aca="false">IF(W674&lt;0,-1E+099,P674-T674-AB674+Y674+(T674+U674)*Calculator!$B$9)</f>
        <v>353171.175</v>
      </c>
    </row>
    <row r="675" customFormat="false" ht="15" hidden="false" customHeight="false" outlineLevel="0" collapsed="false">
      <c r="A675" s="11" t="n">
        <f aca="false">662*$B$3</f>
        <v>331000</v>
      </c>
      <c r="B675" s="11" t="n">
        <f aca="false">0</f>
        <v>0</v>
      </c>
      <c r="C675" s="11" t="n">
        <f aca="false">A675-B675</f>
        <v>331000</v>
      </c>
      <c r="D675" s="11" t="n">
        <f aca="false">IF(Calculator!$B$6="Yes",MIN(B675,'Tax Tables'!$B$31*'Tax Tables'!$B$32),0)</f>
        <v>0</v>
      </c>
      <c r="E675" s="11" t="n">
        <f aca="false">D675*Calculator!$B$7</f>
        <v>0</v>
      </c>
      <c r="F675" s="11" t="n">
        <f aca="false">D675*Calculator!$B$8</f>
        <v>0</v>
      </c>
      <c r="G675" s="11" t="n">
        <f aca="false">IF(B675&gt;0,'Tax Tables'!$B$32*MIN(MAX(B675/'Tax Tables'!$B$32*'Tax Tables'!$B$33,'Tax Tables'!$B$34),'Tax Tables'!$B$35),0)</f>
        <v>0</v>
      </c>
      <c r="H675" s="11" t="n">
        <f aca="false">Calculator!$B$5-A675-F675-G675</f>
        <v>69000</v>
      </c>
      <c r="I675" s="11" t="n">
        <f aca="false">'Tax Tables'!$B$22*(MAX(H675,0)-IF(Calculator!$B$10="Yes",MIN(MAX(H675,0),'Tax Tables'!$B$27)*'Tax Tables'!$B$28+MIN(MAX(MAX(H675,0)-'Tax Tables'!$B$27,0),'Tax Tables'!$B$29)*'Tax Tables'!$B$30,MIN(MAX(H675,0),'Tax Tables'!$B$23)*'Tax Tables'!$B$24+MIN(MAX(MAX(H675,0)-'Tax Tables'!$B$23,0),'Tax Tables'!$B$25)*'Tax Tables'!$B$26))*1-MIN('Tax Tables'!$B$22*(MAX(H675,0)-IF(Calculator!$B$10="Yes",MIN(MAX(H675,0),'Tax Tables'!$B$27)*'Tax Tables'!$B$28+MIN(MAX(MAX(H675,0)-'Tax Tables'!$B$27,0),'Tax Tables'!$B$29)*'Tax Tables'!$B$30,MIN(MAX(H675,0),'Tax Tables'!$B$23)*'Tax Tables'!$B$24+MIN(MAX(MAX(H675,0)-'Tax Tables'!$B$23,0),'Tax Tables'!$B$25)*'Tax Tables'!$B$26))*Calculator!$B$11,Calculator!$B$12)</f>
        <v>5440</v>
      </c>
      <c r="J675" s="11" t="n">
        <f aca="false">MAX(H675,0)-I675</f>
        <v>63560</v>
      </c>
      <c r="K675" s="11" t="n">
        <f aca="false">MIN(IF(A675&gt;0,Calculator!$B$13,0)+E675+Calculator!$B$14,'Tax Tables'!$B$36)</f>
        <v>1000</v>
      </c>
      <c r="L675" s="11" t="n">
        <f aca="false">MAX(A675-K675,0)</f>
        <v>330000</v>
      </c>
      <c r="M675" s="11" t="n">
        <f aca="false">SUMPRODUCT((L675&gt;'Tax Tables'!$A$5:$A$17)*(L675-'Tax Tables'!$A$5:$A$17)*'Tax Tables'!$C$5:$C$17)</f>
        <v>46750</v>
      </c>
      <c r="N675" s="11" t="n">
        <f aca="false">IF(H675&lt;0,-1E+099,A675-E675-M675+J675+(E675+F675)*Calculator!$B$9)</f>
        <v>347810</v>
      </c>
      <c r="O675" s="2"/>
      <c r="P675" s="11" t="n">
        <f aca="false">662*$B$3</f>
        <v>331000</v>
      </c>
      <c r="Q675" s="11" t="n">
        <f aca="false">MIN(P675,'Tax Tables'!$B$31*'Tax Tables'!$B$32)</f>
        <v>96000</v>
      </c>
      <c r="R675" s="11" t="n">
        <f aca="false">P675-Q675</f>
        <v>235000</v>
      </c>
      <c r="S675" s="11" t="n">
        <f aca="false">IF(Calculator!$B$6="Yes",MIN(Q675,'Tax Tables'!$B$31*'Tax Tables'!$B$32),0)</f>
        <v>96000</v>
      </c>
      <c r="T675" s="11" t="n">
        <f aca="false">S675*Calculator!$B$7</f>
        <v>19200</v>
      </c>
      <c r="U675" s="11" t="n">
        <f aca="false">S675*Calculator!$B$8</f>
        <v>16320</v>
      </c>
      <c r="V675" s="11" t="n">
        <f aca="false">IF(Q675&gt;0,'Tax Tables'!$B$32*MIN(MAX(Q675/'Tax Tables'!$B$32*'Tax Tables'!$B$33,'Tax Tables'!$B$34),'Tax Tables'!$B$35),0)</f>
        <v>135</v>
      </c>
      <c r="W675" s="11" t="n">
        <f aca="false">Calculator!$B$5-P675-U675-V675</f>
        <v>52545</v>
      </c>
      <c r="X675" s="11" t="n">
        <f aca="false">'Tax Tables'!$B$22*(MAX(W675,0)-IF(Calculator!$B$10="Yes",MIN(MAX(W675,0),'Tax Tables'!$B$27)*'Tax Tables'!$B$28+MIN(MAX(MAX(W675,0)-'Tax Tables'!$B$27,0),'Tax Tables'!$B$29)*'Tax Tables'!$B$30,MIN(MAX(W675,0),'Tax Tables'!$B$23)*'Tax Tables'!$B$24+MIN(MAX(MAX(W675,0)-'Tax Tables'!$B$23,0),'Tax Tables'!$B$25)*'Tax Tables'!$B$26))*1-MIN('Tax Tables'!$B$22*(MAX(W675,0)-IF(Calculator!$B$10="Yes",MIN(MAX(W675,0),'Tax Tables'!$B$27)*'Tax Tables'!$B$28+MIN(MAX(MAX(W675,0)-'Tax Tables'!$B$27,0),'Tax Tables'!$B$29)*'Tax Tables'!$B$30,MIN(MAX(W675,0),'Tax Tables'!$B$23)*'Tax Tables'!$B$24+MIN(MAX(MAX(W675,0)-'Tax Tables'!$B$23,0),'Tax Tables'!$B$25)*'Tax Tables'!$B$26))*Calculator!$B$11,Calculator!$B$12)</f>
        <v>4041.325</v>
      </c>
      <c r="Y675" s="11" t="n">
        <f aca="false">MAX(W675,0)-X675</f>
        <v>48503.675</v>
      </c>
      <c r="Z675" s="11" t="n">
        <f aca="false">MIN(IF(P675&gt;0,Calculator!$B$13,0)+T675+Calculator!$B$14,'Tax Tables'!$B$36)</f>
        <v>20200</v>
      </c>
      <c r="AA675" s="11" t="n">
        <f aca="false">MAX(P675-Z675,0)</f>
        <v>310800</v>
      </c>
      <c r="AB675" s="11" t="n">
        <f aca="false">SUMPRODUCT((AA675&gt;'Tax Tables'!$A$5:$A$17)*(AA675-'Tax Tables'!$A$5:$A$17)*'Tax Tables'!$C$5:$C$17)</f>
        <v>42710</v>
      </c>
      <c r="AC675" s="11" t="n">
        <f aca="false">IF(W675&lt;0,-1E+099,P675-T675-AB675+Y675+(T675+U675)*Calculator!$B$9)</f>
        <v>353113.675</v>
      </c>
    </row>
    <row r="676" customFormat="false" ht="15" hidden="false" customHeight="false" outlineLevel="0" collapsed="false">
      <c r="A676" s="11" t="n">
        <f aca="false">663*$B$3</f>
        <v>331500</v>
      </c>
      <c r="B676" s="11" t="n">
        <f aca="false">0</f>
        <v>0</v>
      </c>
      <c r="C676" s="11" t="n">
        <f aca="false">A676-B676</f>
        <v>331500</v>
      </c>
      <c r="D676" s="11" t="n">
        <f aca="false">IF(Calculator!$B$6="Yes",MIN(B676,'Tax Tables'!$B$31*'Tax Tables'!$B$32),0)</f>
        <v>0</v>
      </c>
      <c r="E676" s="11" t="n">
        <f aca="false">D676*Calculator!$B$7</f>
        <v>0</v>
      </c>
      <c r="F676" s="11" t="n">
        <f aca="false">D676*Calculator!$B$8</f>
        <v>0</v>
      </c>
      <c r="G676" s="11" t="n">
        <f aca="false">IF(B676&gt;0,'Tax Tables'!$B$32*MIN(MAX(B676/'Tax Tables'!$B$32*'Tax Tables'!$B$33,'Tax Tables'!$B$34),'Tax Tables'!$B$35),0)</f>
        <v>0</v>
      </c>
      <c r="H676" s="11" t="n">
        <f aca="false">Calculator!$B$5-A676-F676-G676</f>
        <v>68500</v>
      </c>
      <c r="I676" s="11" t="n">
        <f aca="false">'Tax Tables'!$B$22*(MAX(H676,0)-IF(Calculator!$B$10="Yes",MIN(MAX(H676,0),'Tax Tables'!$B$27)*'Tax Tables'!$B$28+MIN(MAX(MAX(H676,0)-'Tax Tables'!$B$27,0),'Tax Tables'!$B$29)*'Tax Tables'!$B$30,MIN(MAX(H676,0),'Tax Tables'!$B$23)*'Tax Tables'!$B$24+MIN(MAX(MAX(H676,0)-'Tax Tables'!$B$23,0),'Tax Tables'!$B$25)*'Tax Tables'!$B$26))*1-MIN('Tax Tables'!$B$22*(MAX(H676,0)-IF(Calculator!$B$10="Yes",MIN(MAX(H676,0),'Tax Tables'!$B$27)*'Tax Tables'!$B$28+MIN(MAX(MAX(H676,0)-'Tax Tables'!$B$27,0),'Tax Tables'!$B$29)*'Tax Tables'!$B$30,MIN(MAX(H676,0),'Tax Tables'!$B$23)*'Tax Tables'!$B$24+MIN(MAX(MAX(H676,0)-'Tax Tables'!$B$23,0),'Tax Tables'!$B$25)*'Tax Tables'!$B$26))*Calculator!$B$11,Calculator!$B$12)</f>
        <v>5397.5</v>
      </c>
      <c r="J676" s="11" t="n">
        <f aca="false">MAX(H676,0)-I676</f>
        <v>63102.5</v>
      </c>
      <c r="K676" s="11" t="n">
        <f aca="false">MIN(IF(A676&gt;0,Calculator!$B$13,0)+E676+Calculator!$B$14,'Tax Tables'!$B$36)</f>
        <v>1000</v>
      </c>
      <c r="L676" s="11" t="n">
        <f aca="false">MAX(A676-K676,0)</f>
        <v>330500</v>
      </c>
      <c r="M676" s="11" t="n">
        <f aca="false">SUMPRODUCT((L676&gt;'Tax Tables'!$A$5:$A$17)*(L676-'Tax Tables'!$A$5:$A$17)*'Tax Tables'!$C$5:$C$17)</f>
        <v>46860</v>
      </c>
      <c r="N676" s="11" t="n">
        <f aca="false">IF(H676&lt;0,-1E+099,A676-E676-M676+J676+(E676+F676)*Calculator!$B$9)</f>
        <v>347742.5</v>
      </c>
      <c r="O676" s="2"/>
      <c r="P676" s="11" t="n">
        <f aca="false">663*$B$3</f>
        <v>331500</v>
      </c>
      <c r="Q676" s="11" t="n">
        <f aca="false">MIN(P676,'Tax Tables'!$B$31*'Tax Tables'!$B$32)</f>
        <v>96000</v>
      </c>
      <c r="R676" s="11" t="n">
        <f aca="false">P676-Q676</f>
        <v>235500</v>
      </c>
      <c r="S676" s="11" t="n">
        <f aca="false">IF(Calculator!$B$6="Yes",MIN(Q676,'Tax Tables'!$B$31*'Tax Tables'!$B$32),0)</f>
        <v>96000</v>
      </c>
      <c r="T676" s="11" t="n">
        <f aca="false">S676*Calculator!$B$7</f>
        <v>19200</v>
      </c>
      <c r="U676" s="11" t="n">
        <f aca="false">S676*Calculator!$B$8</f>
        <v>16320</v>
      </c>
      <c r="V676" s="11" t="n">
        <f aca="false">IF(Q676&gt;0,'Tax Tables'!$B$32*MIN(MAX(Q676/'Tax Tables'!$B$32*'Tax Tables'!$B$33,'Tax Tables'!$B$34),'Tax Tables'!$B$35),0)</f>
        <v>135</v>
      </c>
      <c r="W676" s="11" t="n">
        <f aca="false">Calculator!$B$5-P676-U676-V676</f>
        <v>52045</v>
      </c>
      <c r="X676" s="11" t="n">
        <f aca="false">'Tax Tables'!$B$22*(MAX(W676,0)-IF(Calculator!$B$10="Yes",MIN(MAX(W676,0),'Tax Tables'!$B$27)*'Tax Tables'!$B$28+MIN(MAX(MAX(W676,0)-'Tax Tables'!$B$27,0),'Tax Tables'!$B$29)*'Tax Tables'!$B$30,MIN(MAX(W676,0),'Tax Tables'!$B$23)*'Tax Tables'!$B$24+MIN(MAX(MAX(W676,0)-'Tax Tables'!$B$23,0),'Tax Tables'!$B$25)*'Tax Tables'!$B$26))*1-MIN('Tax Tables'!$B$22*(MAX(W676,0)-IF(Calculator!$B$10="Yes",MIN(MAX(W676,0),'Tax Tables'!$B$27)*'Tax Tables'!$B$28+MIN(MAX(MAX(W676,0)-'Tax Tables'!$B$27,0),'Tax Tables'!$B$29)*'Tax Tables'!$B$30,MIN(MAX(W676,0),'Tax Tables'!$B$23)*'Tax Tables'!$B$24+MIN(MAX(MAX(W676,0)-'Tax Tables'!$B$23,0),'Tax Tables'!$B$25)*'Tax Tables'!$B$26))*Calculator!$B$11,Calculator!$B$12)</f>
        <v>3998.825</v>
      </c>
      <c r="Y676" s="11" t="n">
        <f aca="false">MAX(W676,0)-X676</f>
        <v>48046.175</v>
      </c>
      <c r="Z676" s="11" t="n">
        <f aca="false">MIN(IF(P676&gt;0,Calculator!$B$13,0)+T676+Calculator!$B$14,'Tax Tables'!$B$36)</f>
        <v>20200</v>
      </c>
      <c r="AA676" s="11" t="n">
        <f aca="false">MAX(P676-Z676,0)</f>
        <v>311300</v>
      </c>
      <c r="AB676" s="11" t="n">
        <f aca="false">SUMPRODUCT((AA676&gt;'Tax Tables'!$A$5:$A$17)*(AA676-'Tax Tables'!$A$5:$A$17)*'Tax Tables'!$C$5:$C$17)</f>
        <v>42810</v>
      </c>
      <c r="AC676" s="11" t="n">
        <f aca="false">IF(W676&lt;0,-1E+099,P676-T676-AB676+Y676+(T676+U676)*Calculator!$B$9)</f>
        <v>353056.175</v>
      </c>
    </row>
    <row r="677" customFormat="false" ht="15" hidden="false" customHeight="false" outlineLevel="0" collapsed="false">
      <c r="A677" s="11" t="n">
        <f aca="false">664*$B$3</f>
        <v>332000</v>
      </c>
      <c r="B677" s="11" t="n">
        <f aca="false">0</f>
        <v>0</v>
      </c>
      <c r="C677" s="11" t="n">
        <f aca="false">A677-B677</f>
        <v>332000</v>
      </c>
      <c r="D677" s="11" t="n">
        <f aca="false">IF(Calculator!$B$6="Yes",MIN(B677,'Tax Tables'!$B$31*'Tax Tables'!$B$32),0)</f>
        <v>0</v>
      </c>
      <c r="E677" s="11" t="n">
        <f aca="false">D677*Calculator!$B$7</f>
        <v>0</v>
      </c>
      <c r="F677" s="11" t="n">
        <f aca="false">D677*Calculator!$B$8</f>
        <v>0</v>
      </c>
      <c r="G677" s="11" t="n">
        <f aca="false">IF(B677&gt;0,'Tax Tables'!$B$32*MIN(MAX(B677/'Tax Tables'!$B$32*'Tax Tables'!$B$33,'Tax Tables'!$B$34),'Tax Tables'!$B$35),0)</f>
        <v>0</v>
      </c>
      <c r="H677" s="11" t="n">
        <f aca="false">Calculator!$B$5-A677-F677-G677</f>
        <v>68000</v>
      </c>
      <c r="I677" s="11" t="n">
        <f aca="false">'Tax Tables'!$B$22*(MAX(H677,0)-IF(Calculator!$B$10="Yes",MIN(MAX(H677,0),'Tax Tables'!$B$27)*'Tax Tables'!$B$28+MIN(MAX(MAX(H677,0)-'Tax Tables'!$B$27,0),'Tax Tables'!$B$29)*'Tax Tables'!$B$30,MIN(MAX(H677,0),'Tax Tables'!$B$23)*'Tax Tables'!$B$24+MIN(MAX(MAX(H677,0)-'Tax Tables'!$B$23,0),'Tax Tables'!$B$25)*'Tax Tables'!$B$26))*1-MIN('Tax Tables'!$B$22*(MAX(H677,0)-IF(Calculator!$B$10="Yes",MIN(MAX(H677,0),'Tax Tables'!$B$27)*'Tax Tables'!$B$28+MIN(MAX(MAX(H677,0)-'Tax Tables'!$B$27,0),'Tax Tables'!$B$29)*'Tax Tables'!$B$30,MIN(MAX(H677,0),'Tax Tables'!$B$23)*'Tax Tables'!$B$24+MIN(MAX(MAX(H677,0)-'Tax Tables'!$B$23,0),'Tax Tables'!$B$25)*'Tax Tables'!$B$26))*Calculator!$B$11,Calculator!$B$12)</f>
        <v>5355</v>
      </c>
      <c r="J677" s="11" t="n">
        <f aca="false">MAX(H677,0)-I677</f>
        <v>62645</v>
      </c>
      <c r="K677" s="11" t="n">
        <f aca="false">MIN(IF(A677&gt;0,Calculator!$B$13,0)+E677+Calculator!$B$14,'Tax Tables'!$B$36)</f>
        <v>1000</v>
      </c>
      <c r="L677" s="11" t="n">
        <f aca="false">MAX(A677-K677,0)</f>
        <v>331000</v>
      </c>
      <c r="M677" s="11" t="n">
        <f aca="false">SUMPRODUCT((L677&gt;'Tax Tables'!$A$5:$A$17)*(L677-'Tax Tables'!$A$5:$A$17)*'Tax Tables'!$C$5:$C$17)</f>
        <v>46970</v>
      </c>
      <c r="N677" s="11" t="n">
        <f aca="false">IF(H677&lt;0,-1E+099,A677-E677-M677+J677+(E677+F677)*Calculator!$B$9)</f>
        <v>347675</v>
      </c>
      <c r="O677" s="2"/>
      <c r="P677" s="11" t="n">
        <f aca="false">664*$B$3</f>
        <v>332000</v>
      </c>
      <c r="Q677" s="11" t="n">
        <f aca="false">MIN(P677,'Tax Tables'!$B$31*'Tax Tables'!$B$32)</f>
        <v>96000</v>
      </c>
      <c r="R677" s="11" t="n">
        <f aca="false">P677-Q677</f>
        <v>236000</v>
      </c>
      <c r="S677" s="11" t="n">
        <f aca="false">IF(Calculator!$B$6="Yes",MIN(Q677,'Tax Tables'!$B$31*'Tax Tables'!$B$32),0)</f>
        <v>96000</v>
      </c>
      <c r="T677" s="11" t="n">
        <f aca="false">S677*Calculator!$B$7</f>
        <v>19200</v>
      </c>
      <c r="U677" s="11" t="n">
        <f aca="false">S677*Calculator!$B$8</f>
        <v>16320</v>
      </c>
      <c r="V677" s="11" t="n">
        <f aca="false">IF(Q677&gt;0,'Tax Tables'!$B$32*MIN(MAX(Q677/'Tax Tables'!$B$32*'Tax Tables'!$B$33,'Tax Tables'!$B$34),'Tax Tables'!$B$35),0)</f>
        <v>135</v>
      </c>
      <c r="W677" s="11" t="n">
        <f aca="false">Calculator!$B$5-P677-U677-V677</f>
        <v>51545</v>
      </c>
      <c r="X677" s="11" t="n">
        <f aca="false">'Tax Tables'!$B$22*(MAX(W677,0)-IF(Calculator!$B$10="Yes",MIN(MAX(W677,0),'Tax Tables'!$B$27)*'Tax Tables'!$B$28+MIN(MAX(MAX(W677,0)-'Tax Tables'!$B$27,0),'Tax Tables'!$B$29)*'Tax Tables'!$B$30,MIN(MAX(W677,0),'Tax Tables'!$B$23)*'Tax Tables'!$B$24+MIN(MAX(MAX(W677,0)-'Tax Tables'!$B$23,0),'Tax Tables'!$B$25)*'Tax Tables'!$B$26))*1-MIN('Tax Tables'!$B$22*(MAX(W677,0)-IF(Calculator!$B$10="Yes",MIN(MAX(W677,0),'Tax Tables'!$B$27)*'Tax Tables'!$B$28+MIN(MAX(MAX(W677,0)-'Tax Tables'!$B$27,0),'Tax Tables'!$B$29)*'Tax Tables'!$B$30,MIN(MAX(W677,0),'Tax Tables'!$B$23)*'Tax Tables'!$B$24+MIN(MAX(MAX(W677,0)-'Tax Tables'!$B$23,0),'Tax Tables'!$B$25)*'Tax Tables'!$B$26))*Calculator!$B$11,Calculator!$B$12)</f>
        <v>3956.325</v>
      </c>
      <c r="Y677" s="11" t="n">
        <f aca="false">MAX(W677,0)-X677</f>
        <v>47588.675</v>
      </c>
      <c r="Z677" s="11" t="n">
        <f aca="false">MIN(IF(P677&gt;0,Calculator!$B$13,0)+T677+Calculator!$B$14,'Tax Tables'!$B$36)</f>
        <v>20200</v>
      </c>
      <c r="AA677" s="11" t="n">
        <f aca="false">MAX(P677-Z677,0)</f>
        <v>311800</v>
      </c>
      <c r="AB677" s="11" t="n">
        <f aca="false">SUMPRODUCT((AA677&gt;'Tax Tables'!$A$5:$A$17)*(AA677-'Tax Tables'!$A$5:$A$17)*'Tax Tables'!$C$5:$C$17)</f>
        <v>42910</v>
      </c>
      <c r="AC677" s="11" t="n">
        <f aca="false">IF(W677&lt;0,-1E+099,P677-T677-AB677+Y677+(T677+U677)*Calculator!$B$9)</f>
        <v>352998.675</v>
      </c>
    </row>
    <row r="678" customFormat="false" ht="15" hidden="false" customHeight="false" outlineLevel="0" collapsed="false">
      <c r="A678" s="11" t="n">
        <f aca="false">665*$B$3</f>
        <v>332500</v>
      </c>
      <c r="B678" s="11" t="n">
        <f aca="false">0</f>
        <v>0</v>
      </c>
      <c r="C678" s="11" t="n">
        <f aca="false">A678-B678</f>
        <v>332500</v>
      </c>
      <c r="D678" s="11" t="n">
        <f aca="false">IF(Calculator!$B$6="Yes",MIN(B678,'Tax Tables'!$B$31*'Tax Tables'!$B$32),0)</f>
        <v>0</v>
      </c>
      <c r="E678" s="11" t="n">
        <f aca="false">D678*Calculator!$B$7</f>
        <v>0</v>
      </c>
      <c r="F678" s="11" t="n">
        <f aca="false">D678*Calculator!$B$8</f>
        <v>0</v>
      </c>
      <c r="G678" s="11" t="n">
        <f aca="false">IF(B678&gt;0,'Tax Tables'!$B$32*MIN(MAX(B678/'Tax Tables'!$B$32*'Tax Tables'!$B$33,'Tax Tables'!$B$34),'Tax Tables'!$B$35),0)</f>
        <v>0</v>
      </c>
      <c r="H678" s="11" t="n">
        <f aca="false">Calculator!$B$5-A678-F678-G678</f>
        <v>67500</v>
      </c>
      <c r="I678" s="11" t="n">
        <f aca="false">'Tax Tables'!$B$22*(MAX(H678,0)-IF(Calculator!$B$10="Yes",MIN(MAX(H678,0),'Tax Tables'!$B$27)*'Tax Tables'!$B$28+MIN(MAX(MAX(H678,0)-'Tax Tables'!$B$27,0),'Tax Tables'!$B$29)*'Tax Tables'!$B$30,MIN(MAX(H678,0),'Tax Tables'!$B$23)*'Tax Tables'!$B$24+MIN(MAX(MAX(H678,0)-'Tax Tables'!$B$23,0),'Tax Tables'!$B$25)*'Tax Tables'!$B$26))*1-MIN('Tax Tables'!$B$22*(MAX(H678,0)-IF(Calculator!$B$10="Yes",MIN(MAX(H678,0),'Tax Tables'!$B$27)*'Tax Tables'!$B$28+MIN(MAX(MAX(H678,0)-'Tax Tables'!$B$27,0),'Tax Tables'!$B$29)*'Tax Tables'!$B$30,MIN(MAX(H678,0),'Tax Tables'!$B$23)*'Tax Tables'!$B$24+MIN(MAX(MAX(H678,0)-'Tax Tables'!$B$23,0),'Tax Tables'!$B$25)*'Tax Tables'!$B$26))*Calculator!$B$11,Calculator!$B$12)</f>
        <v>5312.5</v>
      </c>
      <c r="J678" s="11" t="n">
        <f aca="false">MAX(H678,0)-I678</f>
        <v>62187.5</v>
      </c>
      <c r="K678" s="11" t="n">
        <f aca="false">MIN(IF(A678&gt;0,Calculator!$B$13,0)+E678+Calculator!$B$14,'Tax Tables'!$B$36)</f>
        <v>1000</v>
      </c>
      <c r="L678" s="11" t="n">
        <f aca="false">MAX(A678-K678,0)</f>
        <v>331500</v>
      </c>
      <c r="M678" s="11" t="n">
        <f aca="false">SUMPRODUCT((L678&gt;'Tax Tables'!$A$5:$A$17)*(L678-'Tax Tables'!$A$5:$A$17)*'Tax Tables'!$C$5:$C$17)</f>
        <v>47080</v>
      </c>
      <c r="N678" s="11" t="n">
        <f aca="false">IF(H678&lt;0,-1E+099,A678-E678-M678+J678+(E678+F678)*Calculator!$B$9)</f>
        <v>347607.5</v>
      </c>
      <c r="O678" s="2"/>
      <c r="P678" s="11" t="n">
        <f aca="false">665*$B$3</f>
        <v>332500</v>
      </c>
      <c r="Q678" s="11" t="n">
        <f aca="false">MIN(P678,'Tax Tables'!$B$31*'Tax Tables'!$B$32)</f>
        <v>96000</v>
      </c>
      <c r="R678" s="11" t="n">
        <f aca="false">P678-Q678</f>
        <v>236500</v>
      </c>
      <c r="S678" s="11" t="n">
        <f aca="false">IF(Calculator!$B$6="Yes",MIN(Q678,'Tax Tables'!$B$31*'Tax Tables'!$B$32),0)</f>
        <v>96000</v>
      </c>
      <c r="T678" s="11" t="n">
        <f aca="false">S678*Calculator!$B$7</f>
        <v>19200</v>
      </c>
      <c r="U678" s="11" t="n">
        <f aca="false">S678*Calculator!$B$8</f>
        <v>16320</v>
      </c>
      <c r="V678" s="11" t="n">
        <f aca="false">IF(Q678&gt;0,'Tax Tables'!$B$32*MIN(MAX(Q678/'Tax Tables'!$B$32*'Tax Tables'!$B$33,'Tax Tables'!$B$34),'Tax Tables'!$B$35),0)</f>
        <v>135</v>
      </c>
      <c r="W678" s="11" t="n">
        <f aca="false">Calculator!$B$5-P678-U678-V678</f>
        <v>51045</v>
      </c>
      <c r="X678" s="11" t="n">
        <f aca="false">'Tax Tables'!$B$22*(MAX(W678,0)-IF(Calculator!$B$10="Yes",MIN(MAX(W678,0),'Tax Tables'!$B$27)*'Tax Tables'!$B$28+MIN(MAX(MAX(W678,0)-'Tax Tables'!$B$27,0),'Tax Tables'!$B$29)*'Tax Tables'!$B$30,MIN(MAX(W678,0),'Tax Tables'!$B$23)*'Tax Tables'!$B$24+MIN(MAX(MAX(W678,0)-'Tax Tables'!$B$23,0),'Tax Tables'!$B$25)*'Tax Tables'!$B$26))*1-MIN('Tax Tables'!$B$22*(MAX(W678,0)-IF(Calculator!$B$10="Yes",MIN(MAX(W678,0),'Tax Tables'!$B$27)*'Tax Tables'!$B$28+MIN(MAX(MAX(W678,0)-'Tax Tables'!$B$27,0),'Tax Tables'!$B$29)*'Tax Tables'!$B$30,MIN(MAX(W678,0),'Tax Tables'!$B$23)*'Tax Tables'!$B$24+MIN(MAX(MAX(W678,0)-'Tax Tables'!$B$23,0),'Tax Tables'!$B$25)*'Tax Tables'!$B$26))*Calculator!$B$11,Calculator!$B$12)</f>
        <v>3913.825</v>
      </c>
      <c r="Y678" s="11" t="n">
        <f aca="false">MAX(W678,0)-X678</f>
        <v>47131.175</v>
      </c>
      <c r="Z678" s="11" t="n">
        <f aca="false">MIN(IF(P678&gt;0,Calculator!$B$13,0)+T678+Calculator!$B$14,'Tax Tables'!$B$36)</f>
        <v>20200</v>
      </c>
      <c r="AA678" s="11" t="n">
        <f aca="false">MAX(P678-Z678,0)</f>
        <v>312300</v>
      </c>
      <c r="AB678" s="11" t="n">
        <f aca="false">SUMPRODUCT((AA678&gt;'Tax Tables'!$A$5:$A$17)*(AA678-'Tax Tables'!$A$5:$A$17)*'Tax Tables'!$C$5:$C$17)</f>
        <v>43010</v>
      </c>
      <c r="AC678" s="11" t="n">
        <f aca="false">IF(W678&lt;0,-1E+099,P678-T678-AB678+Y678+(T678+U678)*Calculator!$B$9)</f>
        <v>352941.175</v>
      </c>
    </row>
    <row r="679" customFormat="false" ht="15" hidden="false" customHeight="false" outlineLevel="0" collapsed="false">
      <c r="A679" s="11" t="n">
        <f aca="false">666*$B$3</f>
        <v>333000</v>
      </c>
      <c r="B679" s="11" t="n">
        <f aca="false">0</f>
        <v>0</v>
      </c>
      <c r="C679" s="11" t="n">
        <f aca="false">A679-B679</f>
        <v>333000</v>
      </c>
      <c r="D679" s="11" t="n">
        <f aca="false">IF(Calculator!$B$6="Yes",MIN(B679,'Tax Tables'!$B$31*'Tax Tables'!$B$32),0)</f>
        <v>0</v>
      </c>
      <c r="E679" s="11" t="n">
        <f aca="false">D679*Calculator!$B$7</f>
        <v>0</v>
      </c>
      <c r="F679" s="11" t="n">
        <f aca="false">D679*Calculator!$B$8</f>
        <v>0</v>
      </c>
      <c r="G679" s="11" t="n">
        <f aca="false">IF(B679&gt;0,'Tax Tables'!$B$32*MIN(MAX(B679/'Tax Tables'!$B$32*'Tax Tables'!$B$33,'Tax Tables'!$B$34),'Tax Tables'!$B$35),0)</f>
        <v>0</v>
      </c>
      <c r="H679" s="11" t="n">
        <f aca="false">Calculator!$B$5-A679-F679-G679</f>
        <v>67000</v>
      </c>
      <c r="I679" s="11" t="n">
        <f aca="false">'Tax Tables'!$B$22*(MAX(H679,0)-IF(Calculator!$B$10="Yes",MIN(MAX(H679,0),'Tax Tables'!$B$27)*'Tax Tables'!$B$28+MIN(MAX(MAX(H679,0)-'Tax Tables'!$B$27,0),'Tax Tables'!$B$29)*'Tax Tables'!$B$30,MIN(MAX(H679,0),'Tax Tables'!$B$23)*'Tax Tables'!$B$24+MIN(MAX(MAX(H679,0)-'Tax Tables'!$B$23,0),'Tax Tables'!$B$25)*'Tax Tables'!$B$26))*1-MIN('Tax Tables'!$B$22*(MAX(H679,0)-IF(Calculator!$B$10="Yes",MIN(MAX(H679,0),'Tax Tables'!$B$27)*'Tax Tables'!$B$28+MIN(MAX(MAX(H679,0)-'Tax Tables'!$B$27,0),'Tax Tables'!$B$29)*'Tax Tables'!$B$30,MIN(MAX(H679,0),'Tax Tables'!$B$23)*'Tax Tables'!$B$24+MIN(MAX(MAX(H679,0)-'Tax Tables'!$B$23,0),'Tax Tables'!$B$25)*'Tax Tables'!$B$26))*Calculator!$B$11,Calculator!$B$12)</f>
        <v>5270</v>
      </c>
      <c r="J679" s="11" t="n">
        <f aca="false">MAX(H679,0)-I679</f>
        <v>61730</v>
      </c>
      <c r="K679" s="11" t="n">
        <f aca="false">MIN(IF(A679&gt;0,Calculator!$B$13,0)+E679+Calculator!$B$14,'Tax Tables'!$B$36)</f>
        <v>1000</v>
      </c>
      <c r="L679" s="11" t="n">
        <f aca="false">MAX(A679-K679,0)</f>
        <v>332000</v>
      </c>
      <c r="M679" s="11" t="n">
        <f aca="false">SUMPRODUCT((L679&gt;'Tax Tables'!$A$5:$A$17)*(L679-'Tax Tables'!$A$5:$A$17)*'Tax Tables'!$C$5:$C$17)</f>
        <v>47190</v>
      </c>
      <c r="N679" s="11" t="n">
        <f aca="false">IF(H679&lt;0,-1E+099,A679-E679-M679+J679+(E679+F679)*Calculator!$B$9)</f>
        <v>347540</v>
      </c>
      <c r="O679" s="2"/>
      <c r="P679" s="11" t="n">
        <f aca="false">666*$B$3</f>
        <v>333000</v>
      </c>
      <c r="Q679" s="11" t="n">
        <f aca="false">MIN(P679,'Tax Tables'!$B$31*'Tax Tables'!$B$32)</f>
        <v>96000</v>
      </c>
      <c r="R679" s="11" t="n">
        <f aca="false">P679-Q679</f>
        <v>237000</v>
      </c>
      <c r="S679" s="11" t="n">
        <f aca="false">IF(Calculator!$B$6="Yes",MIN(Q679,'Tax Tables'!$B$31*'Tax Tables'!$B$32),0)</f>
        <v>96000</v>
      </c>
      <c r="T679" s="11" t="n">
        <f aca="false">S679*Calculator!$B$7</f>
        <v>19200</v>
      </c>
      <c r="U679" s="11" t="n">
        <f aca="false">S679*Calculator!$B$8</f>
        <v>16320</v>
      </c>
      <c r="V679" s="11" t="n">
        <f aca="false">IF(Q679&gt;0,'Tax Tables'!$B$32*MIN(MAX(Q679/'Tax Tables'!$B$32*'Tax Tables'!$B$33,'Tax Tables'!$B$34),'Tax Tables'!$B$35),0)</f>
        <v>135</v>
      </c>
      <c r="W679" s="11" t="n">
        <f aca="false">Calculator!$B$5-P679-U679-V679</f>
        <v>50545</v>
      </c>
      <c r="X679" s="11" t="n">
        <f aca="false">'Tax Tables'!$B$22*(MAX(W679,0)-IF(Calculator!$B$10="Yes",MIN(MAX(W679,0),'Tax Tables'!$B$27)*'Tax Tables'!$B$28+MIN(MAX(MAX(W679,0)-'Tax Tables'!$B$27,0),'Tax Tables'!$B$29)*'Tax Tables'!$B$30,MIN(MAX(W679,0),'Tax Tables'!$B$23)*'Tax Tables'!$B$24+MIN(MAX(MAX(W679,0)-'Tax Tables'!$B$23,0),'Tax Tables'!$B$25)*'Tax Tables'!$B$26))*1-MIN('Tax Tables'!$B$22*(MAX(W679,0)-IF(Calculator!$B$10="Yes",MIN(MAX(W679,0),'Tax Tables'!$B$27)*'Tax Tables'!$B$28+MIN(MAX(MAX(W679,0)-'Tax Tables'!$B$27,0),'Tax Tables'!$B$29)*'Tax Tables'!$B$30,MIN(MAX(W679,0),'Tax Tables'!$B$23)*'Tax Tables'!$B$24+MIN(MAX(MAX(W679,0)-'Tax Tables'!$B$23,0),'Tax Tables'!$B$25)*'Tax Tables'!$B$26))*Calculator!$B$11,Calculator!$B$12)</f>
        <v>3871.325</v>
      </c>
      <c r="Y679" s="11" t="n">
        <f aca="false">MAX(W679,0)-X679</f>
        <v>46673.675</v>
      </c>
      <c r="Z679" s="11" t="n">
        <f aca="false">MIN(IF(P679&gt;0,Calculator!$B$13,0)+T679+Calculator!$B$14,'Tax Tables'!$B$36)</f>
        <v>20200</v>
      </c>
      <c r="AA679" s="11" t="n">
        <f aca="false">MAX(P679-Z679,0)</f>
        <v>312800</v>
      </c>
      <c r="AB679" s="11" t="n">
        <f aca="false">SUMPRODUCT((AA679&gt;'Tax Tables'!$A$5:$A$17)*(AA679-'Tax Tables'!$A$5:$A$17)*'Tax Tables'!$C$5:$C$17)</f>
        <v>43110</v>
      </c>
      <c r="AC679" s="11" t="n">
        <f aca="false">IF(W679&lt;0,-1E+099,P679-T679-AB679+Y679+(T679+U679)*Calculator!$B$9)</f>
        <v>352883.675</v>
      </c>
    </row>
    <row r="680" customFormat="false" ht="15" hidden="false" customHeight="false" outlineLevel="0" collapsed="false">
      <c r="A680" s="11" t="n">
        <f aca="false">667*$B$3</f>
        <v>333500</v>
      </c>
      <c r="B680" s="11" t="n">
        <f aca="false">0</f>
        <v>0</v>
      </c>
      <c r="C680" s="11" t="n">
        <f aca="false">A680-B680</f>
        <v>333500</v>
      </c>
      <c r="D680" s="11" t="n">
        <f aca="false">IF(Calculator!$B$6="Yes",MIN(B680,'Tax Tables'!$B$31*'Tax Tables'!$B$32),0)</f>
        <v>0</v>
      </c>
      <c r="E680" s="11" t="n">
        <f aca="false">D680*Calculator!$B$7</f>
        <v>0</v>
      </c>
      <c r="F680" s="11" t="n">
        <f aca="false">D680*Calculator!$B$8</f>
        <v>0</v>
      </c>
      <c r="G680" s="11" t="n">
        <f aca="false">IF(B680&gt;0,'Tax Tables'!$B$32*MIN(MAX(B680/'Tax Tables'!$B$32*'Tax Tables'!$B$33,'Tax Tables'!$B$34),'Tax Tables'!$B$35),0)</f>
        <v>0</v>
      </c>
      <c r="H680" s="11" t="n">
        <f aca="false">Calculator!$B$5-A680-F680-G680</f>
        <v>66500</v>
      </c>
      <c r="I680" s="11" t="n">
        <f aca="false">'Tax Tables'!$B$22*(MAX(H680,0)-IF(Calculator!$B$10="Yes",MIN(MAX(H680,0),'Tax Tables'!$B$27)*'Tax Tables'!$B$28+MIN(MAX(MAX(H680,0)-'Tax Tables'!$B$27,0),'Tax Tables'!$B$29)*'Tax Tables'!$B$30,MIN(MAX(H680,0),'Tax Tables'!$B$23)*'Tax Tables'!$B$24+MIN(MAX(MAX(H680,0)-'Tax Tables'!$B$23,0),'Tax Tables'!$B$25)*'Tax Tables'!$B$26))*1-MIN('Tax Tables'!$B$22*(MAX(H680,0)-IF(Calculator!$B$10="Yes",MIN(MAX(H680,0),'Tax Tables'!$B$27)*'Tax Tables'!$B$28+MIN(MAX(MAX(H680,0)-'Tax Tables'!$B$27,0),'Tax Tables'!$B$29)*'Tax Tables'!$B$30,MIN(MAX(H680,0),'Tax Tables'!$B$23)*'Tax Tables'!$B$24+MIN(MAX(MAX(H680,0)-'Tax Tables'!$B$23,0),'Tax Tables'!$B$25)*'Tax Tables'!$B$26))*Calculator!$B$11,Calculator!$B$12)</f>
        <v>5227.5</v>
      </c>
      <c r="J680" s="11" t="n">
        <f aca="false">MAX(H680,0)-I680</f>
        <v>61272.5</v>
      </c>
      <c r="K680" s="11" t="n">
        <f aca="false">MIN(IF(A680&gt;0,Calculator!$B$13,0)+E680+Calculator!$B$14,'Tax Tables'!$B$36)</f>
        <v>1000</v>
      </c>
      <c r="L680" s="11" t="n">
        <f aca="false">MAX(A680-K680,0)</f>
        <v>332500</v>
      </c>
      <c r="M680" s="11" t="n">
        <f aca="false">SUMPRODUCT((L680&gt;'Tax Tables'!$A$5:$A$17)*(L680-'Tax Tables'!$A$5:$A$17)*'Tax Tables'!$C$5:$C$17)</f>
        <v>47300</v>
      </c>
      <c r="N680" s="11" t="n">
        <f aca="false">IF(H680&lt;0,-1E+099,A680-E680-M680+J680+(E680+F680)*Calculator!$B$9)</f>
        <v>347472.5</v>
      </c>
      <c r="O680" s="2"/>
      <c r="P680" s="11" t="n">
        <f aca="false">667*$B$3</f>
        <v>333500</v>
      </c>
      <c r="Q680" s="11" t="n">
        <f aca="false">MIN(P680,'Tax Tables'!$B$31*'Tax Tables'!$B$32)</f>
        <v>96000</v>
      </c>
      <c r="R680" s="11" t="n">
        <f aca="false">P680-Q680</f>
        <v>237500</v>
      </c>
      <c r="S680" s="11" t="n">
        <f aca="false">IF(Calculator!$B$6="Yes",MIN(Q680,'Tax Tables'!$B$31*'Tax Tables'!$B$32),0)</f>
        <v>96000</v>
      </c>
      <c r="T680" s="11" t="n">
        <f aca="false">S680*Calculator!$B$7</f>
        <v>19200</v>
      </c>
      <c r="U680" s="11" t="n">
        <f aca="false">S680*Calculator!$B$8</f>
        <v>16320</v>
      </c>
      <c r="V680" s="11" t="n">
        <f aca="false">IF(Q680&gt;0,'Tax Tables'!$B$32*MIN(MAX(Q680/'Tax Tables'!$B$32*'Tax Tables'!$B$33,'Tax Tables'!$B$34),'Tax Tables'!$B$35),0)</f>
        <v>135</v>
      </c>
      <c r="W680" s="11" t="n">
        <f aca="false">Calculator!$B$5-P680-U680-V680</f>
        <v>50045</v>
      </c>
      <c r="X680" s="11" t="n">
        <f aca="false">'Tax Tables'!$B$22*(MAX(W680,0)-IF(Calculator!$B$10="Yes",MIN(MAX(W680,0),'Tax Tables'!$B$27)*'Tax Tables'!$B$28+MIN(MAX(MAX(W680,0)-'Tax Tables'!$B$27,0),'Tax Tables'!$B$29)*'Tax Tables'!$B$30,MIN(MAX(W680,0),'Tax Tables'!$B$23)*'Tax Tables'!$B$24+MIN(MAX(MAX(W680,0)-'Tax Tables'!$B$23,0),'Tax Tables'!$B$25)*'Tax Tables'!$B$26))*1-MIN('Tax Tables'!$B$22*(MAX(W680,0)-IF(Calculator!$B$10="Yes",MIN(MAX(W680,0),'Tax Tables'!$B$27)*'Tax Tables'!$B$28+MIN(MAX(MAX(W680,0)-'Tax Tables'!$B$27,0),'Tax Tables'!$B$29)*'Tax Tables'!$B$30,MIN(MAX(W680,0),'Tax Tables'!$B$23)*'Tax Tables'!$B$24+MIN(MAX(MAX(W680,0)-'Tax Tables'!$B$23,0),'Tax Tables'!$B$25)*'Tax Tables'!$B$26))*Calculator!$B$11,Calculator!$B$12)</f>
        <v>3828.825</v>
      </c>
      <c r="Y680" s="11" t="n">
        <f aca="false">MAX(W680,0)-X680</f>
        <v>46216.175</v>
      </c>
      <c r="Z680" s="11" t="n">
        <f aca="false">MIN(IF(P680&gt;0,Calculator!$B$13,0)+T680+Calculator!$B$14,'Tax Tables'!$B$36)</f>
        <v>20200</v>
      </c>
      <c r="AA680" s="11" t="n">
        <f aca="false">MAX(P680-Z680,0)</f>
        <v>313300</v>
      </c>
      <c r="AB680" s="11" t="n">
        <f aca="false">SUMPRODUCT((AA680&gt;'Tax Tables'!$A$5:$A$17)*(AA680-'Tax Tables'!$A$5:$A$17)*'Tax Tables'!$C$5:$C$17)</f>
        <v>43210</v>
      </c>
      <c r="AC680" s="11" t="n">
        <f aca="false">IF(W680&lt;0,-1E+099,P680-T680-AB680+Y680+(T680+U680)*Calculator!$B$9)</f>
        <v>352826.175</v>
      </c>
    </row>
    <row r="681" customFormat="false" ht="15" hidden="false" customHeight="false" outlineLevel="0" collapsed="false">
      <c r="A681" s="11" t="n">
        <f aca="false">668*$B$3</f>
        <v>334000</v>
      </c>
      <c r="B681" s="11" t="n">
        <f aca="false">0</f>
        <v>0</v>
      </c>
      <c r="C681" s="11" t="n">
        <f aca="false">A681-B681</f>
        <v>334000</v>
      </c>
      <c r="D681" s="11" t="n">
        <f aca="false">IF(Calculator!$B$6="Yes",MIN(B681,'Tax Tables'!$B$31*'Tax Tables'!$B$32),0)</f>
        <v>0</v>
      </c>
      <c r="E681" s="11" t="n">
        <f aca="false">D681*Calculator!$B$7</f>
        <v>0</v>
      </c>
      <c r="F681" s="11" t="n">
        <f aca="false">D681*Calculator!$B$8</f>
        <v>0</v>
      </c>
      <c r="G681" s="11" t="n">
        <f aca="false">IF(B681&gt;0,'Tax Tables'!$B$32*MIN(MAX(B681/'Tax Tables'!$B$32*'Tax Tables'!$B$33,'Tax Tables'!$B$34),'Tax Tables'!$B$35),0)</f>
        <v>0</v>
      </c>
      <c r="H681" s="11" t="n">
        <f aca="false">Calculator!$B$5-A681-F681-G681</f>
        <v>66000</v>
      </c>
      <c r="I681" s="11" t="n">
        <f aca="false">'Tax Tables'!$B$22*(MAX(H681,0)-IF(Calculator!$B$10="Yes",MIN(MAX(H681,0),'Tax Tables'!$B$27)*'Tax Tables'!$B$28+MIN(MAX(MAX(H681,0)-'Tax Tables'!$B$27,0),'Tax Tables'!$B$29)*'Tax Tables'!$B$30,MIN(MAX(H681,0),'Tax Tables'!$B$23)*'Tax Tables'!$B$24+MIN(MAX(MAX(H681,0)-'Tax Tables'!$B$23,0),'Tax Tables'!$B$25)*'Tax Tables'!$B$26))*1-MIN('Tax Tables'!$B$22*(MAX(H681,0)-IF(Calculator!$B$10="Yes",MIN(MAX(H681,0),'Tax Tables'!$B$27)*'Tax Tables'!$B$28+MIN(MAX(MAX(H681,0)-'Tax Tables'!$B$27,0),'Tax Tables'!$B$29)*'Tax Tables'!$B$30,MIN(MAX(H681,0),'Tax Tables'!$B$23)*'Tax Tables'!$B$24+MIN(MAX(MAX(H681,0)-'Tax Tables'!$B$23,0),'Tax Tables'!$B$25)*'Tax Tables'!$B$26))*Calculator!$B$11,Calculator!$B$12)</f>
        <v>5185</v>
      </c>
      <c r="J681" s="11" t="n">
        <f aca="false">MAX(H681,0)-I681</f>
        <v>60815</v>
      </c>
      <c r="K681" s="11" t="n">
        <f aca="false">MIN(IF(A681&gt;0,Calculator!$B$13,0)+E681+Calculator!$B$14,'Tax Tables'!$B$36)</f>
        <v>1000</v>
      </c>
      <c r="L681" s="11" t="n">
        <f aca="false">MAX(A681-K681,0)</f>
        <v>333000</v>
      </c>
      <c r="M681" s="11" t="n">
        <f aca="false">SUMPRODUCT((L681&gt;'Tax Tables'!$A$5:$A$17)*(L681-'Tax Tables'!$A$5:$A$17)*'Tax Tables'!$C$5:$C$17)</f>
        <v>47410</v>
      </c>
      <c r="N681" s="11" t="n">
        <f aca="false">IF(H681&lt;0,-1E+099,A681-E681-M681+J681+(E681+F681)*Calculator!$B$9)</f>
        <v>347405</v>
      </c>
      <c r="O681" s="2"/>
      <c r="P681" s="11" t="n">
        <f aca="false">668*$B$3</f>
        <v>334000</v>
      </c>
      <c r="Q681" s="11" t="n">
        <f aca="false">MIN(P681,'Tax Tables'!$B$31*'Tax Tables'!$B$32)</f>
        <v>96000</v>
      </c>
      <c r="R681" s="11" t="n">
        <f aca="false">P681-Q681</f>
        <v>238000</v>
      </c>
      <c r="S681" s="11" t="n">
        <f aca="false">IF(Calculator!$B$6="Yes",MIN(Q681,'Tax Tables'!$B$31*'Tax Tables'!$B$32),0)</f>
        <v>96000</v>
      </c>
      <c r="T681" s="11" t="n">
        <f aca="false">S681*Calculator!$B$7</f>
        <v>19200</v>
      </c>
      <c r="U681" s="11" t="n">
        <f aca="false">S681*Calculator!$B$8</f>
        <v>16320</v>
      </c>
      <c r="V681" s="11" t="n">
        <f aca="false">IF(Q681&gt;0,'Tax Tables'!$B$32*MIN(MAX(Q681/'Tax Tables'!$B$32*'Tax Tables'!$B$33,'Tax Tables'!$B$34),'Tax Tables'!$B$35),0)</f>
        <v>135</v>
      </c>
      <c r="W681" s="11" t="n">
        <f aca="false">Calculator!$B$5-P681-U681-V681</f>
        <v>49545</v>
      </c>
      <c r="X681" s="11" t="n">
        <f aca="false">'Tax Tables'!$B$22*(MAX(W681,0)-IF(Calculator!$B$10="Yes",MIN(MAX(W681,0),'Tax Tables'!$B$27)*'Tax Tables'!$B$28+MIN(MAX(MAX(W681,0)-'Tax Tables'!$B$27,0),'Tax Tables'!$B$29)*'Tax Tables'!$B$30,MIN(MAX(W681,0),'Tax Tables'!$B$23)*'Tax Tables'!$B$24+MIN(MAX(MAX(W681,0)-'Tax Tables'!$B$23,0),'Tax Tables'!$B$25)*'Tax Tables'!$B$26))*1-MIN('Tax Tables'!$B$22*(MAX(W681,0)-IF(Calculator!$B$10="Yes",MIN(MAX(W681,0),'Tax Tables'!$B$27)*'Tax Tables'!$B$28+MIN(MAX(MAX(W681,0)-'Tax Tables'!$B$27,0),'Tax Tables'!$B$29)*'Tax Tables'!$B$30,MIN(MAX(W681,0),'Tax Tables'!$B$23)*'Tax Tables'!$B$24+MIN(MAX(MAX(W681,0)-'Tax Tables'!$B$23,0),'Tax Tables'!$B$25)*'Tax Tables'!$B$26))*Calculator!$B$11,Calculator!$B$12)</f>
        <v>3786.325</v>
      </c>
      <c r="Y681" s="11" t="n">
        <f aca="false">MAX(W681,0)-X681</f>
        <v>45758.675</v>
      </c>
      <c r="Z681" s="11" t="n">
        <f aca="false">MIN(IF(P681&gt;0,Calculator!$B$13,0)+T681+Calculator!$B$14,'Tax Tables'!$B$36)</f>
        <v>20200</v>
      </c>
      <c r="AA681" s="11" t="n">
        <f aca="false">MAX(P681-Z681,0)</f>
        <v>313800</v>
      </c>
      <c r="AB681" s="11" t="n">
        <f aca="false">SUMPRODUCT((AA681&gt;'Tax Tables'!$A$5:$A$17)*(AA681-'Tax Tables'!$A$5:$A$17)*'Tax Tables'!$C$5:$C$17)</f>
        <v>43310</v>
      </c>
      <c r="AC681" s="11" t="n">
        <f aca="false">IF(W681&lt;0,-1E+099,P681-T681-AB681+Y681+(T681+U681)*Calculator!$B$9)</f>
        <v>352768.675</v>
      </c>
    </row>
    <row r="682" customFormat="false" ht="15" hidden="false" customHeight="false" outlineLevel="0" collapsed="false">
      <c r="A682" s="11" t="n">
        <f aca="false">669*$B$3</f>
        <v>334500</v>
      </c>
      <c r="B682" s="11" t="n">
        <f aca="false">0</f>
        <v>0</v>
      </c>
      <c r="C682" s="11" t="n">
        <f aca="false">A682-B682</f>
        <v>334500</v>
      </c>
      <c r="D682" s="11" t="n">
        <f aca="false">IF(Calculator!$B$6="Yes",MIN(B682,'Tax Tables'!$B$31*'Tax Tables'!$B$32),0)</f>
        <v>0</v>
      </c>
      <c r="E682" s="11" t="n">
        <f aca="false">D682*Calculator!$B$7</f>
        <v>0</v>
      </c>
      <c r="F682" s="11" t="n">
        <f aca="false">D682*Calculator!$B$8</f>
        <v>0</v>
      </c>
      <c r="G682" s="11" t="n">
        <f aca="false">IF(B682&gt;0,'Tax Tables'!$B$32*MIN(MAX(B682/'Tax Tables'!$B$32*'Tax Tables'!$B$33,'Tax Tables'!$B$34),'Tax Tables'!$B$35),0)</f>
        <v>0</v>
      </c>
      <c r="H682" s="11" t="n">
        <f aca="false">Calculator!$B$5-A682-F682-G682</f>
        <v>65500</v>
      </c>
      <c r="I682" s="11" t="n">
        <f aca="false">'Tax Tables'!$B$22*(MAX(H682,0)-IF(Calculator!$B$10="Yes",MIN(MAX(H682,0),'Tax Tables'!$B$27)*'Tax Tables'!$B$28+MIN(MAX(MAX(H682,0)-'Tax Tables'!$B$27,0),'Tax Tables'!$B$29)*'Tax Tables'!$B$30,MIN(MAX(H682,0),'Tax Tables'!$B$23)*'Tax Tables'!$B$24+MIN(MAX(MAX(H682,0)-'Tax Tables'!$B$23,0),'Tax Tables'!$B$25)*'Tax Tables'!$B$26))*1-MIN('Tax Tables'!$B$22*(MAX(H682,0)-IF(Calculator!$B$10="Yes",MIN(MAX(H682,0),'Tax Tables'!$B$27)*'Tax Tables'!$B$28+MIN(MAX(MAX(H682,0)-'Tax Tables'!$B$27,0),'Tax Tables'!$B$29)*'Tax Tables'!$B$30,MIN(MAX(H682,0),'Tax Tables'!$B$23)*'Tax Tables'!$B$24+MIN(MAX(MAX(H682,0)-'Tax Tables'!$B$23,0),'Tax Tables'!$B$25)*'Tax Tables'!$B$26))*Calculator!$B$11,Calculator!$B$12)</f>
        <v>5142.5</v>
      </c>
      <c r="J682" s="11" t="n">
        <f aca="false">MAX(H682,0)-I682</f>
        <v>60357.5</v>
      </c>
      <c r="K682" s="11" t="n">
        <f aca="false">MIN(IF(A682&gt;0,Calculator!$B$13,0)+E682+Calculator!$B$14,'Tax Tables'!$B$36)</f>
        <v>1000</v>
      </c>
      <c r="L682" s="11" t="n">
        <f aca="false">MAX(A682-K682,0)</f>
        <v>333500</v>
      </c>
      <c r="M682" s="11" t="n">
        <f aca="false">SUMPRODUCT((L682&gt;'Tax Tables'!$A$5:$A$17)*(L682-'Tax Tables'!$A$5:$A$17)*'Tax Tables'!$C$5:$C$17)</f>
        <v>47520</v>
      </c>
      <c r="N682" s="11" t="n">
        <f aca="false">IF(H682&lt;0,-1E+099,A682-E682-M682+J682+(E682+F682)*Calculator!$B$9)</f>
        <v>347337.5</v>
      </c>
      <c r="O682" s="2"/>
      <c r="P682" s="11" t="n">
        <f aca="false">669*$B$3</f>
        <v>334500</v>
      </c>
      <c r="Q682" s="11" t="n">
        <f aca="false">MIN(P682,'Tax Tables'!$B$31*'Tax Tables'!$B$32)</f>
        <v>96000</v>
      </c>
      <c r="R682" s="11" t="n">
        <f aca="false">P682-Q682</f>
        <v>238500</v>
      </c>
      <c r="S682" s="11" t="n">
        <f aca="false">IF(Calculator!$B$6="Yes",MIN(Q682,'Tax Tables'!$B$31*'Tax Tables'!$B$32),0)</f>
        <v>96000</v>
      </c>
      <c r="T682" s="11" t="n">
        <f aca="false">S682*Calculator!$B$7</f>
        <v>19200</v>
      </c>
      <c r="U682" s="11" t="n">
        <f aca="false">S682*Calculator!$B$8</f>
        <v>16320</v>
      </c>
      <c r="V682" s="11" t="n">
        <f aca="false">IF(Q682&gt;0,'Tax Tables'!$B$32*MIN(MAX(Q682/'Tax Tables'!$B$32*'Tax Tables'!$B$33,'Tax Tables'!$B$34),'Tax Tables'!$B$35),0)</f>
        <v>135</v>
      </c>
      <c r="W682" s="11" t="n">
        <f aca="false">Calculator!$B$5-P682-U682-V682</f>
        <v>49045</v>
      </c>
      <c r="X682" s="11" t="n">
        <f aca="false">'Tax Tables'!$B$22*(MAX(W682,0)-IF(Calculator!$B$10="Yes",MIN(MAX(W682,0),'Tax Tables'!$B$27)*'Tax Tables'!$B$28+MIN(MAX(MAX(W682,0)-'Tax Tables'!$B$27,0),'Tax Tables'!$B$29)*'Tax Tables'!$B$30,MIN(MAX(W682,0),'Tax Tables'!$B$23)*'Tax Tables'!$B$24+MIN(MAX(MAX(W682,0)-'Tax Tables'!$B$23,0),'Tax Tables'!$B$25)*'Tax Tables'!$B$26))*1-MIN('Tax Tables'!$B$22*(MAX(W682,0)-IF(Calculator!$B$10="Yes",MIN(MAX(W682,0),'Tax Tables'!$B$27)*'Tax Tables'!$B$28+MIN(MAX(MAX(W682,0)-'Tax Tables'!$B$27,0),'Tax Tables'!$B$29)*'Tax Tables'!$B$30,MIN(MAX(W682,0),'Tax Tables'!$B$23)*'Tax Tables'!$B$24+MIN(MAX(MAX(W682,0)-'Tax Tables'!$B$23,0),'Tax Tables'!$B$25)*'Tax Tables'!$B$26))*Calculator!$B$11,Calculator!$B$12)</f>
        <v>3743.825</v>
      </c>
      <c r="Y682" s="11" t="n">
        <f aca="false">MAX(W682,0)-X682</f>
        <v>45301.175</v>
      </c>
      <c r="Z682" s="11" t="n">
        <f aca="false">MIN(IF(P682&gt;0,Calculator!$B$13,0)+T682+Calculator!$B$14,'Tax Tables'!$B$36)</f>
        <v>20200</v>
      </c>
      <c r="AA682" s="11" t="n">
        <f aca="false">MAX(P682-Z682,0)</f>
        <v>314300</v>
      </c>
      <c r="AB682" s="11" t="n">
        <f aca="false">SUMPRODUCT((AA682&gt;'Tax Tables'!$A$5:$A$17)*(AA682-'Tax Tables'!$A$5:$A$17)*'Tax Tables'!$C$5:$C$17)</f>
        <v>43410</v>
      </c>
      <c r="AC682" s="11" t="n">
        <f aca="false">IF(W682&lt;0,-1E+099,P682-T682-AB682+Y682+(T682+U682)*Calculator!$B$9)</f>
        <v>352711.175</v>
      </c>
    </row>
    <row r="683" customFormat="false" ht="15" hidden="false" customHeight="false" outlineLevel="0" collapsed="false">
      <c r="A683" s="11" t="n">
        <f aca="false">670*$B$3</f>
        <v>335000</v>
      </c>
      <c r="B683" s="11" t="n">
        <f aca="false">0</f>
        <v>0</v>
      </c>
      <c r="C683" s="11" t="n">
        <f aca="false">A683-B683</f>
        <v>335000</v>
      </c>
      <c r="D683" s="11" t="n">
        <f aca="false">IF(Calculator!$B$6="Yes",MIN(B683,'Tax Tables'!$B$31*'Tax Tables'!$B$32),0)</f>
        <v>0</v>
      </c>
      <c r="E683" s="11" t="n">
        <f aca="false">D683*Calculator!$B$7</f>
        <v>0</v>
      </c>
      <c r="F683" s="11" t="n">
        <f aca="false">D683*Calculator!$B$8</f>
        <v>0</v>
      </c>
      <c r="G683" s="11" t="n">
        <f aca="false">IF(B683&gt;0,'Tax Tables'!$B$32*MIN(MAX(B683/'Tax Tables'!$B$32*'Tax Tables'!$B$33,'Tax Tables'!$B$34),'Tax Tables'!$B$35),0)</f>
        <v>0</v>
      </c>
      <c r="H683" s="11" t="n">
        <f aca="false">Calculator!$B$5-A683-F683-G683</f>
        <v>65000</v>
      </c>
      <c r="I683" s="11" t="n">
        <f aca="false">'Tax Tables'!$B$22*(MAX(H683,0)-IF(Calculator!$B$10="Yes",MIN(MAX(H683,0),'Tax Tables'!$B$27)*'Tax Tables'!$B$28+MIN(MAX(MAX(H683,0)-'Tax Tables'!$B$27,0),'Tax Tables'!$B$29)*'Tax Tables'!$B$30,MIN(MAX(H683,0),'Tax Tables'!$B$23)*'Tax Tables'!$B$24+MIN(MAX(MAX(H683,0)-'Tax Tables'!$B$23,0),'Tax Tables'!$B$25)*'Tax Tables'!$B$26))*1-MIN('Tax Tables'!$B$22*(MAX(H683,0)-IF(Calculator!$B$10="Yes",MIN(MAX(H683,0),'Tax Tables'!$B$27)*'Tax Tables'!$B$28+MIN(MAX(MAX(H683,0)-'Tax Tables'!$B$27,0),'Tax Tables'!$B$29)*'Tax Tables'!$B$30,MIN(MAX(H683,0),'Tax Tables'!$B$23)*'Tax Tables'!$B$24+MIN(MAX(MAX(H683,0)-'Tax Tables'!$B$23,0),'Tax Tables'!$B$25)*'Tax Tables'!$B$26))*Calculator!$B$11,Calculator!$B$12)</f>
        <v>5100</v>
      </c>
      <c r="J683" s="11" t="n">
        <f aca="false">MAX(H683,0)-I683</f>
        <v>59900</v>
      </c>
      <c r="K683" s="11" t="n">
        <f aca="false">MIN(IF(A683&gt;0,Calculator!$B$13,0)+E683+Calculator!$B$14,'Tax Tables'!$B$36)</f>
        <v>1000</v>
      </c>
      <c r="L683" s="11" t="n">
        <f aca="false">MAX(A683-K683,0)</f>
        <v>334000</v>
      </c>
      <c r="M683" s="11" t="n">
        <f aca="false">SUMPRODUCT((L683&gt;'Tax Tables'!$A$5:$A$17)*(L683-'Tax Tables'!$A$5:$A$17)*'Tax Tables'!$C$5:$C$17)</f>
        <v>47630</v>
      </c>
      <c r="N683" s="11" t="n">
        <f aca="false">IF(H683&lt;0,-1E+099,A683-E683-M683+J683+(E683+F683)*Calculator!$B$9)</f>
        <v>347270</v>
      </c>
      <c r="O683" s="2"/>
      <c r="P683" s="11" t="n">
        <f aca="false">670*$B$3</f>
        <v>335000</v>
      </c>
      <c r="Q683" s="11" t="n">
        <f aca="false">MIN(P683,'Tax Tables'!$B$31*'Tax Tables'!$B$32)</f>
        <v>96000</v>
      </c>
      <c r="R683" s="11" t="n">
        <f aca="false">P683-Q683</f>
        <v>239000</v>
      </c>
      <c r="S683" s="11" t="n">
        <f aca="false">IF(Calculator!$B$6="Yes",MIN(Q683,'Tax Tables'!$B$31*'Tax Tables'!$B$32),0)</f>
        <v>96000</v>
      </c>
      <c r="T683" s="11" t="n">
        <f aca="false">S683*Calculator!$B$7</f>
        <v>19200</v>
      </c>
      <c r="U683" s="11" t="n">
        <f aca="false">S683*Calculator!$B$8</f>
        <v>16320</v>
      </c>
      <c r="V683" s="11" t="n">
        <f aca="false">IF(Q683&gt;0,'Tax Tables'!$B$32*MIN(MAX(Q683/'Tax Tables'!$B$32*'Tax Tables'!$B$33,'Tax Tables'!$B$34),'Tax Tables'!$B$35),0)</f>
        <v>135</v>
      </c>
      <c r="W683" s="11" t="n">
        <f aca="false">Calculator!$B$5-P683-U683-V683</f>
        <v>48545</v>
      </c>
      <c r="X683" s="11" t="n">
        <f aca="false">'Tax Tables'!$B$22*(MAX(W683,0)-IF(Calculator!$B$10="Yes",MIN(MAX(W683,0),'Tax Tables'!$B$27)*'Tax Tables'!$B$28+MIN(MAX(MAX(W683,0)-'Tax Tables'!$B$27,0),'Tax Tables'!$B$29)*'Tax Tables'!$B$30,MIN(MAX(W683,0),'Tax Tables'!$B$23)*'Tax Tables'!$B$24+MIN(MAX(MAX(W683,0)-'Tax Tables'!$B$23,0),'Tax Tables'!$B$25)*'Tax Tables'!$B$26))*1-MIN('Tax Tables'!$B$22*(MAX(W683,0)-IF(Calculator!$B$10="Yes",MIN(MAX(W683,0),'Tax Tables'!$B$27)*'Tax Tables'!$B$28+MIN(MAX(MAX(W683,0)-'Tax Tables'!$B$27,0),'Tax Tables'!$B$29)*'Tax Tables'!$B$30,MIN(MAX(W683,0),'Tax Tables'!$B$23)*'Tax Tables'!$B$24+MIN(MAX(MAX(W683,0)-'Tax Tables'!$B$23,0),'Tax Tables'!$B$25)*'Tax Tables'!$B$26))*Calculator!$B$11,Calculator!$B$12)</f>
        <v>3701.325</v>
      </c>
      <c r="Y683" s="11" t="n">
        <f aca="false">MAX(W683,0)-X683</f>
        <v>44843.675</v>
      </c>
      <c r="Z683" s="11" t="n">
        <f aca="false">MIN(IF(P683&gt;0,Calculator!$B$13,0)+T683+Calculator!$B$14,'Tax Tables'!$B$36)</f>
        <v>20200</v>
      </c>
      <c r="AA683" s="11" t="n">
        <f aca="false">MAX(P683-Z683,0)</f>
        <v>314800</v>
      </c>
      <c r="AB683" s="11" t="n">
        <f aca="false">SUMPRODUCT((AA683&gt;'Tax Tables'!$A$5:$A$17)*(AA683-'Tax Tables'!$A$5:$A$17)*'Tax Tables'!$C$5:$C$17)</f>
        <v>43510</v>
      </c>
      <c r="AC683" s="11" t="n">
        <f aca="false">IF(W683&lt;0,-1E+099,P683-T683-AB683+Y683+(T683+U683)*Calculator!$B$9)</f>
        <v>352653.675</v>
      </c>
    </row>
    <row r="684" customFormat="false" ht="15" hidden="false" customHeight="false" outlineLevel="0" collapsed="false">
      <c r="A684" s="11" t="n">
        <f aca="false">671*$B$3</f>
        <v>335500</v>
      </c>
      <c r="B684" s="11" t="n">
        <f aca="false">0</f>
        <v>0</v>
      </c>
      <c r="C684" s="11" t="n">
        <f aca="false">A684-B684</f>
        <v>335500</v>
      </c>
      <c r="D684" s="11" t="n">
        <f aca="false">IF(Calculator!$B$6="Yes",MIN(B684,'Tax Tables'!$B$31*'Tax Tables'!$B$32),0)</f>
        <v>0</v>
      </c>
      <c r="E684" s="11" t="n">
        <f aca="false">D684*Calculator!$B$7</f>
        <v>0</v>
      </c>
      <c r="F684" s="11" t="n">
        <f aca="false">D684*Calculator!$B$8</f>
        <v>0</v>
      </c>
      <c r="G684" s="11" t="n">
        <f aca="false">IF(B684&gt;0,'Tax Tables'!$B$32*MIN(MAX(B684/'Tax Tables'!$B$32*'Tax Tables'!$B$33,'Tax Tables'!$B$34),'Tax Tables'!$B$35),0)</f>
        <v>0</v>
      </c>
      <c r="H684" s="11" t="n">
        <f aca="false">Calculator!$B$5-A684-F684-G684</f>
        <v>64500</v>
      </c>
      <c r="I684" s="11" t="n">
        <f aca="false">'Tax Tables'!$B$22*(MAX(H684,0)-IF(Calculator!$B$10="Yes",MIN(MAX(H684,0),'Tax Tables'!$B$27)*'Tax Tables'!$B$28+MIN(MAX(MAX(H684,0)-'Tax Tables'!$B$27,0),'Tax Tables'!$B$29)*'Tax Tables'!$B$30,MIN(MAX(H684,0),'Tax Tables'!$B$23)*'Tax Tables'!$B$24+MIN(MAX(MAX(H684,0)-'Tax Tables'!$B$23,0),'Tax Tables'!$B$25)*'Tax Tables'!$B$26))*1-MIN('Tax Tables'!$B$22*(MAX(H684,0)-IF(Calculator!$B$10="Yes",MIN(MAX(H684,0),'Tax Tables'!$B$27)*'Tax Tables'!$B$28+MIN(MAX(MAX(H684,0)-'Tax Tables'!$B$27,0),'Tax Tables'!$B$29)*'Tax Tables'!$B$30,MIN(MAX(H684,0),'Tax Tables'!$B$23)*'Tax Tables'!$B$24+MIN(MAX(MAX(H684,0)-'Tax Tables'!$B$23,0),'Tax Tables'!$B$25)*'Tax Tables'!$B$26))*Calculator!$B$11,Calculator!$B$12)</f>
        <v>5057.5</v>
      </c>
      <c r="J684" s="11" t="n">
        <f aca="false">MAX(H684,0)-I684</f>
        <v>59442.5</v>
      </c>
      <c r="K684" s="11" t="n">
        <f aca="false">MIN(IF(A684&gt;0,Calculator!$B$13,0)+E684+Calculator!$B$14,'Tax Tables'!$B$36)</f>
        <v>1000</v>
      </c>
      <c r="L684" s="11" t="n">
        <f aca="false">MAX(A684-K684,0)</f>
        <v>334500</v>
      </c>
      <c r="M684" s="11" t="n">
        <f aca="false">SUMPRODUCT((L684&gt;'Tax Tables'!$A$5:$A$17)*(L684-'Tax Tables'!$A$5:$A$17)*'Tax Tables'!$C$5:$C$17)</f>
        <v>47740</v>
      </c>
      <c r="N684" s="11" t="n">
        <f aca="false">IF(H684&lt;0,-1E+099,A684-E684-M684+J684+(E684+F684)*Calculator!$B$9)</f>
        <v>347202.5</v>
      </c>
      <c r="O684" s="2"/>
      <c r="P684" s="11" t="n">
        <f aca="false">671*$B$3</f>
        <v>335500</v>
      </c>
      <c r="Q684" s="11" t="n">
        <f aca="false">MIN(P684,'Tax Tables'!$B$31*'Tax Tables'!$B$32)</f>
        <v>96000</v>
      </c>
      <c r="R684" s="11" t="n">
        <f aca="false">P684-Q684</f>
        <v>239500</v>
      </c>
      <c r="S684" s="11" t="n">
        <f aca="false">IF(Calculator!$B$6="Yes",MIN(Q684,'Tax Tables'!$B$31*'Tax Tables'!$B$32),0)</f>
        <v>96000</v>
      </c>
      <c r="T684" s="11" t="n">
        <f aca="false">S684*Calculator!$B$7</f>
        <v>19200</v>
      </c>
      <c r="U684" s="11" t="n">
        <f aca="false">S684*Calculator!$B$8</f>
        <v>16320</v>
      </c>
      <c r="V684" s="11" t="n">
        <f aca="false">IF(Q684&gt;0,'Tax Tables'!$B$32*MIN(MAX(Q684/'Tax Tables'!$B$32*'Tax Tables'!$B$33,'Tax Tables'!$B$34),'Tax Tables'!$B$35),0)</f>
        <v>135</v>
      </c>
      <c r="W684" s="11" t="n">
        <f aca="false">Calculator!$B$5-P684-U684-V684</f>
        <v>48045</v>
      </c>
      <c r="X684" s="11" t="n">
        <f aca="false">'Tax Tables'!$B$22*(MAX(W684,0)-IF(Calculator!$B$10="Yes",MIN(MAX(W684,0),'Tax Tables'!$B$27)*'Tax Tables'!$B$28+MIN(MAX(MAX(W684,0)-'Tax Tables'!$B$27,0),'Tax Tables'!$B$29)*'Tax Tables'!$B$30,MIN(MAX(W684,0),'Tax Tables'!$B$23)*'Tax Tables'!$B$24+MIN(MAX(MAX(W684,0)-'Tax Tables'!$B$23,0),'Tax Tables'!$B$25)*'Tax Tables'!$B$26))*1-MIN('Tax Tables'!$B$22*(MAX(W684,0)-IF(Calculator!$B$10="Yes",MIN(MAX(W684,0),'Tax Tables'!$B$27)*'Tax Tables'!$B$28+MIN(MAX(MAX(W684,0)-'Tax Tables'!$B$27,0),'Tax Tables'!$B$29)*'Tax Tables'!$B$30,MIN(MAX(W684,0),'Tax Tables'!$B$23)*'Tax Tables'!$B$24+MIN(MAX(MAX(W684,0)-'Tax Tables'!$B$23,0),'Tax Tables'!$B$25)*'Tax Tables'!$B$26))*Calculator!$B$11,Calculator!$B$12)</f>
        <v>3658.825</v>
      </c>
      <c r="Y684" s="11" t="n">
        <f aca="false">MAX(W684,0)-X684</f>
        <v>44386.175</v>
      </c>
      <c r="Z684" s="11" t="n">
        <f aca="false">MIN(IF(P684&gt;0,Calculator!$B$13,0)+T684+Calculator!$B$14,'Tax Tables'!$B$36)</f>
        <v>20200</v>
      </c>
      <c r="AA684" s="11" t="n">
        <f aca="false">MAX(P684-Z684,0)</f>
        <v>315300</v>
      </c>
      <c r="AB684" s="11" t="n">
        <f aca="false">SUMPRODUCT((AA684&gt;'Tax Tables'!$A$5:$A$17)*(AA684-'Tax Tables'!$A$5:$A$17)*'Tax Tables'!$C$5:$C$17)</f>
        <v>43610</v>
      </c>
      <c r="AC684" s="11" t="n">
        <f aca="false">IF(W684&lt;0,-1E+099,P684-T684-AB684+Y684+(T684+U684)*Calculator!$B$9)</f>
        <v>352596.175</v>
      </c>
    </row>
    <row r="685" customFormat="false" ht="15" hidden="false" customHeight="false" outlineLevel="0" collapsed="false">
      <c r="A685" s="11" t="n">
        <f aca="false">672*$B$3</f>
        <v>336000</v>
      </c>
      <c r="B685" s="11" t="n">
        <f aca="false">0</f>
        <v>0</v>
      </c>
      <c r="C685" s="11" t="n">
        <f aca="false">A685-B685</f>
        <v>336000</v>
      </c>
      <c r="D685" s="11" t="n">
        <f aca="false">IF(Calculator!$B$6="Yes",MIN(B685,'Tax Tables'!$B$31*'Tax Tables'!$B$32),0)</f>
        <v>0</v>
      </c>
      <c r="E685" s="11" t="n">
        <f aca="false">D685*Calculator!$B$7</f>
        <v>0</v>
      </c>
      <c r="F685" s="11" t="n">
        <f aca="false">D685*Calculator!$B$8</f>
        <v>0</v>
      </c>
      <c r="G685" s="11" t="n">
        <f aca="false">IF(B685&gt;0,'Tax Tables'!$B$32*MIN(MAX(B685/'Tax Tables'!$B$32*'Tax Tables'!$B$33,'Tax Tables'!$B$34),'Tax Tables'!$B$35),0)</f>
        <v>0</v>
      </c>
      <c r="H685" s="11" t="n">
        <f aca="false">Calculator!$B$5-A685-F685-G685</f>
        <v>64000</v>
      </c>
      <c r="I685" s="11" t="n">
        <f aca="false">'Tax Tables'!$B$22*(MAX(H685,0)-IF(Calculator!$B$10="Yes",MIN(MAX(H685,0),'Tax Tables'!$B$27)*'Tax Tables'!$B$28+MIN(MAX(MAX(H685,0)-'Tax Tables'!$B$27,0),'Tax Tables'!$B$29)*'Tax Tables'!$B$30,MIN(MAX(H685,0),'Tax Tables'!$B$23)*'Tax Tables'!$B$24+MIN(MAX(MAX(H685,0)-'Tax Tables'!$B$23,0),'Tax Tables'!$B$25)*'Tax Tables'!$B$26))*1-MIN('Tax Tables'!$B$22*(MAX(H685,0)-IF(Calculator!$B$10="Yes",MIN(MAX(H685,0),'Tax Tables'!$B$27)*'Tax Tables'!$B$28+MIN(MAX(MAX(H685,0)-'Tax Tables'!$B$27,0),'Tax Tables'!$B$29)*'Tax Tables'!$B$30,MIN(MAX(H685,0),'Tax Tables'!$B$23)*'Tax Tables'!$B$24+MIN(MAX(MAX(H685,0)-'Tax Tables'!$B$23,0),'Tax Tables'!$B$25)*'Tax Tables'!$B$26))*Calculator!$B$11,Calculator!$B$12)</f>
        <v>5015</v>
      </c>
      <c r="J685" s="11" t="n">
        <f aca="false">MAX(H685,0)-I685</f>
        <v>58985</v>
      </c>
      <c r="K685" s="11" t="n">
        <f aca="false">MIN(IF(A685&gt;0,Calculator!$B$13,0)+E685+Calculator!$B$14,'Tax Tables'!$B$36)</f>
        <v>1000</v>
      </c>
      <c r="L685" s="11" t="n">
        <f aca="false">MAX(A685-K685,0)</f>
        <v>335000</v>
      </c>
      <c r="M685" s="11" t="n">
        <f aca="false">SUMPRODUCT((L685&gt;'Tax Tables'!$A$5:$A$17)*(L685-'Tax Tables'!$A$5:$A$17)*'Tax Tables'!$C$5:$C$17)</f>
        <v>47850</v>
      </c>
      <c r="N685" s="11" t="n">
        <f aca="false">IF(H685&lt;0,-1E+099,A685-E685-M685+J685+(E685+F685)*Calculator!$B$9)</f>
        <v>347135</v>
      </c>
      <c r="O685" s="2"/>
      <c r="P685" s="11" t="n">
        <f aca="false">672*$B$3</f>
        <v>336000</v>
      </c>
      <c r="Q685" s="11" t="n">
        <f aca="false">MIN(P685,'Tax Tables'!$B$31*'Tax Tables'!$B$32)</f>
        <v>96000</v>
      </c>
      <c r="R685" s="11" t="n">
        <f aca="false">P685-Q685</f>
        <v>240000</v>
      </c>
      <c r="S685" s="11" t="n">
        <f aca="false">IF(Calculator!$B$6="Yes",MIN(Q685,'Tax Tables'!$B$31*'Tax Tables'!$B$32),0)</f>
        <v>96000</v>
      </c>
      <c r="T685" s="11" t="n">
        <f aca="false">S685*Calculator!$B$7</f>
        <v>19200</v>
      </c>
      <c r="U685" s="11" t="n">
        <f aca="false">S685*Calculator!$B$8</f>
        <v>16320</v>
      </c>
      <c r="V685" s="11" t="n">
        <f aca="false">IF(Q685&gt;0,'Tax Tables'!$B$32*MIN(MAX(Q685/'Tax Tables'!$B$32*'Tax Tables'!$B$33,'Tax Tables'!$B$34),'Tax Tables'!$B$35),0)</f>
        <v>135</v>
      </c>
      <c r="W685" s="11" t="n">
        <f aca="false">Calculator!$B$5-P685-U685-V685</f>
        <v>47545</v>
      </c>
      <c r="X685" s="11" t="n">
        <f aca="false">'Tax Tables'!$B$22*(MAX(W685,0)-IF(Calculator!$B$10="Yes",MIN(MAX(W685,0),'Tax Tables'!$B$27)*'Tax Tables'!$B$28+MIN(MAX(MAX(W685,0)-'Tax Tables'!$B$27,0),'Tax Tables'!$B$29)*'Tax Tables'!$B$30,MIN(MAX(W685,0),'Tax Tables'!$B$23)*'Tax Tables'!$B$24+MIN(MAX(MAX(W685,0)-'Tax Tables'!$B$23,0),'Tax Tables'!$B$25)*'Tax Tables'!$B$26))*1-MIN('Tax Tables'!$B$22*(MAX(W685,0)-IF(Calculator!$B$10="Yes",MIN(MAX(W685,0),'Tax Tables'!$B$27)*'Tax Tables'!$B$28+MIN(MAX(MAX(W685,0)-'Tax Tables'!$B$27,0),'Tax Tables'!$B$29)*'Tax Tables'!$B$30,MIN(MAX(W685,0),'Tax Tables'!$B$23)*'Tax Tables'!$B$24+MIN(MAX(MAX(W685,0)-'Tax Tables'!$B$23,0),'Tax Tables'!$B$25)*'Tax Tables'!$B$26))*Calculator!$B$11,Calculator!$B$12)</f>
        <v>3616.325</v>
      </c>
      <c r="Y685" s="11" t="n">
        <f aca="false">MAX(W685,0)-X685</f>
        <v>43928.675</v>
      </c>
      <c r="Z685" s="11" t="n">
        <f aca="false">MIN(IF(P685&gt;0,Calculator!$B$13,0)+T685+Calculator!$B$14,'Tax Tables'!$B$36)</f>
        <v>20200</v>
      </c>
      <c r="AA685" s="11" t="n">
        <f aca="false">MAX(P685-Z685,0)</f>
        <v>315800</v>
      </c>
      <c r="AB685" s="11" t="n">
        <f aca="false">SUMPRODUCT((AA685&gt;'Tax Tables'!$A$5:$A$17)*(AA685-'Tax Tables'!$A$5:$A$17)*'Tax Tables'!$C$5:$C$17)</f>
        <v>43710</v>
      </c>
      <c r="AC685" s="11" t="n">
        <f aca="false">IF(W685&lt;0,-1E+099,P685-T685-AB685+Y685+(T685+U685)*Calculator!$B$9)</f>
        <v>352538.675</v>
      </c>
    </row>
    <row r="686" customFormat="false" ht="15" hidden="false" customHeight="false" outlineLevel="0" collapsed="false">
      <c r="A686" s="11" t="n">
        <f aca="false">673*$B$3</f>
        <v>336500</v>
      </c>
      <c r="B686" s="11" t="n">
        <f aca="false">0</f>
        <v>0</v>
      </c>
      <c r="C686" s="11" t="n">
        <f aca="false">A686-B686</f>
        <v>336500</v>
      </c>
      <c r="D686" s="11" t="n">
        <f aca="false">IF(Calculator!$B$6="Yes",MIN(B686,'Tax Tables'!$B$31*'Tax Tables'!$B$32),0)</f>
        <v>0</v>
      </c>
      <c r="E686" s="11" t="n">
        <f aca="false">D686*Calculator!$B$7</f>
        <v>0</v>
      </c>
      <c r="F686" s="11" t="n">
        <f aca="false">D686*Calculator!$B$8</f>
        <v>0</v>
      </c>
      <c r="G686" s="11" t="n">
        <f aca="false">IF(B686&gt;0,'Tax Tables'!$B$32*MIN(MAX(B686/'Tax Tables'!$B$32*'Tax Tables'!$B$33,'Tax Tables'!$B$34),'Tax Tables'!$B$35),0)</f>
        <v>0</v>
      </c>
      <c r="H686" s="11" t="n">
        <f aca="false">Calculator!$B$5-A686-F686-G686</f>
        <v>63500</v>
      </c>
      <c r="I686" s="11" t="n">
        <f aca="false">'Tax Tables'!$B$22*(MAX(H686,0)-IF(Calculator!$B$10="Yes",MIN(MAX(H686,0),'Tax Tables'!$B$27)*'Tax Tables'!$B$28+MIN(MAX(MAX(H686,0)-'Tax Tables'!$B$27,0),'Tax Tables'!$B$29)*'Tax Tables'!$B$30,MIN(MAX(H686,0),'Tax Tables'!$B$23)*'Tax Tables'!$B$24+MIN(MAX(MAX(H686,0)-'Tax Tables'!$B$23,0),'Tax Tables'!$B$25)*'Tax Tables'!$B$26))*1-MIN('Tax Tables'!$B$22*(MAX(H686,0)-IF(Calculator!$B$10="Yes",MIN(MAX(H686,0),'Tax Tables'!$B$27)*'Tax Tables'!$B$28+MIN(MAX(MAX(H686,0)-'Tax Tables'!$B$27,0),'Tax Tables'!$B$29)*'Tax Tables'!$B$30,MIN(MAX(H686,0),'Tax Tables'!$B$23)*'Tax Tables'!$B$24+MIN(MAX(MAX(H686,0)-'Tax Tables'!$B$23,0),'Tax Tables'!$B$25)*'Tax Tables'!$B$26))*Calculator!$B$11,Calculator!$B$12)</f>
        <v>4972.5</v>
      </c>
      <c r="J686" s="11" t="n">
        <f aca="false">MAX(H686,0)-I686</f>
        <v>58527.5</v>
      </c>
      <c r="K686" s="11" t="n">
        <f aca="false">MIN(IF(A686&gt;0,Calculator!$B$13,0)+E686+Calculator!$B$14,'Tax Tables'!$B$36)</f>
        <v>1000</v>
      </c>
      <c r="L686" s="11" t="n">
        <f aca="false">MAX(A686-K686,0)</f>
        <v>335500</v>
      </c>
      <c r="M686" s="11" t="n">
        <f aca="false">SUMPRODUCT((L686&gt;'Tax Tables'!$A$5:$A$17)*(L686-'Tax Tables'!$A$5:$A$17)*'Tax Tables'!$C$5:$C$17)</f>
        <v>47960</v>
      </c>
      <c r="N686" s="11" t="n">
        <f aca="false">IF(H686&lt;0,-1E+099,A686-E686-M686+J686+(E686+F686)*Calculator!$B$9)</f>
        <v>347067.5</v>
      </c>
      <c r="O686" s="2"/>
      <c r="P686" s="11" t="n">
        <f aca="false">673*$B$3</f>
        <v>336500</v>
      </c>
      <c r="Q686" s="11" t="n">
        <f aca="false">MIN(P686,'Tax Tables'!$B$31*'Tax Tables'!$B$32)</f>
        <v>96000</v>
      </c>
      <c r="R686" s="11" t="n">
        <f aca="false">P686-Q686</f>
        <v>240500</v>
      </c>
      <c r="S686" s="11" t="n">
        <f aca="false">IF(Calculator!$B$6="Yes",MIN(Q686,'Tax Tables'!$B$31*'Tax Tables'!$B$32),0)</f>
        <v>96000</v>
      </c>
      <c r="T686" s="11" t="n">
        <f aca="false">S686*Calculator!$B$7</f>
        <v>19200</v>
      </c>
      <c r="U686" s="11" t="n">
        <f aca="false">S686*Calculator!$B$8</f>
        <v>16320</v>
      </c>
      <c r="V686" s="11" t="n">
        <f aca="false">IF(Q686&gt;0,'Tax Tables'!$B$32*MIN(MAX(Q686/'Tax Tables'!$B$32*'Tax Tables'!$B$33,'Tax Tables'!$B$34),'Tax Tables'!$B$35),0)</f>
        <v>135</v>
      </c>
      <c r="W686" s="11" t="n">
        <f aca="false">Calculator!$B$5-P686-U686-V686</f>
        <v>47045</v>
      </c>
      <c r="X686" s="11" t="n">
        <f aca="false">'Tax Tables'!$B$22*(MAX(W686,0)-IF(Calculator!$B$10="Yes",MIN(MAX(W686,0),'Tax Tables'!$B$27)*'Tax Tables'!$B$28+MIN(MAX(MAX(W686,0)-'Tax Tables'!$B$27,0),'Tax Tables'!$B$29)*'Tax Tables'!$B$30,MIN(MAX(W686,0),'Tax Tables'!$B$23)*'Tax Tables'!$B$24+MIN(MAX(MAX(W686,0)-'Tax Tables'!$B$23,0),'Tax Tables'!$B$25)*'Tax Tables'!$B$26))*1-MIN('Tax Tables'!$B$22*(MAX(W686,0)-IF(Calculator!$B$10="Yes",MIN(MAX(W686,0),'Tax Tables'!$B$27)*'Tax Tables'!$B$28+MIN(MAX(MAX(W686,0)-'Tax Tables'!$B$27,0),'Tax Tables'!$B$29)*'Tax Tables'!$B$30,MIN(MAX(W686,0),'Tax Tables'!$B$23)*'Tax Tables'!$B$24+MIN(MAX(MAX(W686,0)-'Tax Tables'!$B$23,0),'Tax Tables'!$B$25)*'Tax Tables'!$B$26))*Calculator!$B$11,Calculator!$B$12)</f>
        <v>3573.825</v>
      </c>
      <c r="Y686" s="11" t="n">
        <f aca="false">MAX(W686,0)-X686</f>
        <v>43471.175</v>
      </c>
      <c r="Z686" s="11" t="n">
        <f aca="false">MIN(IF(P686&gt;0,Calculator!$B$13,0)+T686+Calculator!$B$14,'Tax Tables'!$B$36)</f>
        <v>20200</v>
      </c>
      <c r="AA686" s="11" t="n">
        <f aca="false">MAX(P686-Z686,0)</f>
        <v>316300</v>
      </c>
      <c r="AB686" s="11" t="n">
        <f aca="false">SUMPRODUCT((AA686&gt;'Tax Tables'!$A$5:$A$17)*(AA686-'Tax Tables'!$A$5:$A$17)*'Tax Tables'!$C$5:$C$17)</f>
        <v>43810</v>
      </c>
      <c r="AC686" s="11" t="n">
        <f aca="false">IF(W686&lt;0,-1E+099,P686-T686-AB686+Y686+(T686+U686)*Calculator!$B$9)</f>
        <v>352481.175</v>
      </c>
    </row>
    <row r="687" customFormat="false" ht="15" hidden="false" customHeight="false" outlineLevel="0" collapsed="false">
      <c r="A687" s="11" t="n">
        <f aca="false">674*$B$3</f>
        <v>337000</v>
      </c>
      <c r="B687" s="11" t="n">
        <f aca="false">0</f>
        <v>0</v>
      </c>
      <c r="C687" s="11" t="n">
        <f aca="false">A687-B687</f>
        <v>337000</v>
      </c>
      <c r="D687" s="11" t="n">
        <f aca="false">IF(Calculator!$B$6="Yes",MIN(B687,'Tax Tables'!$B$31*'Tax Tables'!$B$32),0)</f>
        <v>0</v>
      </c>
      <c r="E687" s="11" t="n">
        <f aca="false">D687*Calculator!$B$7</f>
        <v>0</v>
      </c>
      <c r="F687" s="11" t="n">
        <f aca="false">D687*Calculator!$B$8</f>
        <v>0</v>
      </c>
      <c r="G687" s="11" t="n">
        <f aca="false">IF(B687&gt;0,'Tax Tables'!$B$32*MIN(MAX(B687/'Tax Tables'!$B$32*'Tax Tables'!$B$33,'Tax Tables'!$B$34),'Tax Tables'!$B$35),0)</f>
        <v>0</v>
      </c>
      <c r="H687" s="11" t="n">
        <f aca="false">Calculator!$B$5-A687-F687-G687</f>
        <v>63000</v>
      </c>
      <c r="I687" s="11" t="n">
        <f aca="false">'Tax Tables'!$B$22*(MAX(H687,0)-IF(Calculator!$B$10="Yes",MIN(MAX(H687,0),'Tax Tables'!$B$27)*'Tax Tables'!$B$28+MIN(MAX(MAX(H687,0)-'Tax Tables'!$B$27,0),'Tax Tables'!$B$29)*'Tax Tables'!$B$30,MIN(MAX(H687,0),'Tax Tables'!$B$23)*'Tax Tables'!$B$24+MIN(MAX(MAX(H687,0)-'Tax Tables'!$B$23,0),'Tax Tables'!$B$25)*'Tax Tables'!$B$26))*1-MIN('Tax Tables'!$B$22*(MAX(H687,0)-IF(Calculator!$B$10="Yes",MIN(MAX(H687,0),'Tax Tables'!$B$27)*'Tax Tables'!$B$28+MIN(MAX(MAX(H687,0)-'Tax Tables'!$B$27,0),'Tax Tables'!$B$29)*'Tax Tables'!$B$30,MIN(MAX(H687,0),'Tax Tables'!$B$23)*'Tax Tables'!$B$24+MIN(MAX(MAX(H687,0)-'Tax Tables'!$B$23,0),'Tax Tables'!$B$25)*'Tax Tables'!$B$26))*Calculator!$B$11,Calculator!$B$12)</f>
        <v>4930</v>
      </c>
      <c r="J687" s="11" t="n">
        <f aca="false">MAX(H687,0)-I687</f>
        <v>58070</v>
      </c>
      <c r="K687" s="11" t="n">
        <f aca="false">MIN(IF(A687&gt;0,Calculator!$B$13,0)+E687+Calculator!$B$14,'Tax Tables'!$B$36)</f>
        <v>1000</v>
      </c>
      <c r="L687" s="11" t="n">
        <f aca="false">MAX(A687-K687,0)</f>
        <v>336000</v>
      </c>
      <c r="M687" s="11" t="n">
        <f aca="false">SUMPRODUCT((L687&gt;'Tax Tables'!$A$5:$A$17)*(L687-'Tax Tables'!$A$5:$A$17)*'Tax Tables'!$C$5:$C$17)</f>
        <v>48070</v>
      </c>
      <c r="N687" s="11" t="n">
        <f aca="false">IF(H687&lt;0,-1E+099,A687-E687-M687+J687+(E687+F687)*Calculator!$B$9)</f>
        <v>347000</v>
      </c>
      <c r="O687" s="2"/>
      <c r="P687" s="11" t="n">
        <f aca="false">674*$B$3</f>
        <v>337000</v>
      </c>
      <c r="Q687" s="11" t="n">
        <f aca="false">MIN(P687,'Tax Tables'!$B$31*'Tax Tables'!$B$32)</f>
        <v>96000</v>
      </c>
      <c r="R687" s="11" t="n">
        <f aca="false">P687-Q687</f>
        <v>241000</v>
      </c>
      <c r="S687" s="11" t="n">
        <f aca="false">IF(Calculator!$B$6="Yes",MIN(Q687,'Tax Tables'!$B$31*'Tax Tables'!$B$32),0)</f>
        <v>96000</v>
      </c>
      <c r="T687" s="11" t="n">
        <f aca="false">S687*Calculator!$B$7</f>
        <v>19200</v>
      </c>
      <c r="U687" s="11" t="n">
        <f aca="false">S687*Calculator!$B$8</f>
        <v>16320</v>
      </c>
      <c r="V687" s="11" t="n">
        <f aca="false">IF(Q687&gt;0,'Tax Tables'!$B$32*MIN(MAX(Q687/'Tax Tables'!$B$32*'Tax Tables'!$B$33,'Tax Tables'!$B$34),'Tax Tables'!$B$35),0)</f>
        <v>135</v>
      </c>
      <c r="W687" s="11" t="n">
        <f aca="false">Calculator!$B$5-P687-U687-V687</f>
        <v>46545</v>
      </c>
      <c r="X687" s="11" t="n">
        <f aca="false">'Tax Tables'!$B$22*(MAX(W687,0)-IF(Calculator!$B$10="Yes",MIN(MAX(W687,0),'Tax Tables'!$B$27)*'Tax Tables'!$B$28+MIN(MAX(MAX(W687,0)-'Tax Tables'!$B$27,0),'Tax Tables'!$B$29)*'Tax Tables'!$B$30,MIN(MAX(W687,0),'Tax Tables'!$B$23)*'Tax Tables'!$B$24+MIN(MAX(MAX(W687,0)-'Tax Tables'!$B$23,0),'Tax Tables'!$B$25)*'Tax Tables'!$B$26))*1-MIN('Tax Tables'!$B$22*(MAX(W687,0)-IF(Calculator!$B$10="Yes",MIN(MAX(W687,0),'Tax Tables'!$B$27)*'Tax Tables'!$B$28+MIN(MAX(MAX(W687,0)-'Tax Tables'!$B$27,0),'Tax Tables'!$B$29)*'Tax Tables'!$B$30,MIN(MAX(W687,0),'Tax Tables'!$B$23)*'Tax Tables'!$B$24+MIN(MAX(MAX(W687,0)-'Tax Tables'!$B$23,0),'Tax Tables'!$B$25)*'Tax Tables'!$B$26))*Calculator!$B$11,Calculator!$B$12)</f>
        <v>3531.325</v>
      </c>
      <c r="Y687" s="11" t="n">
        <f aca="false">MAX(W687,0)-X687</f>
        <v>43013.675</v>
      </c>
      <c r="Z687" s="11" t="n">
        <f aca="false">MIN(IF(P687&gt;0,Calculator!$B$13,0)+T687+Calculator!$B$14,'Tax Tables'!$B$36)</f>
        <v>20200</v>
      </c>
      <c r="AA687" s="11" t="n">
        <f aca="false">MAX(P687-Z687,0)</f>
        <v>316800</v>
      </c>
      <c r="AB687" s="11" t="n">
        <f aca="false">SUMPRODUCT((AA687&gt;'Tax Tables'!$A$5:$A$17)*(AA687-'Tax Tables'!$A$5:$A$17)*'Tax Tables'!$C$5:$C$17)</f>
        <v>43910</v>
      </c>
      <c r="AC687" s="11" t="n">
        <f aca="false">IF(W687&lt;0,-1E+099,P687-T687-AB687+Y687+(T687+U687)*Calculator!$B$9)</f>
        <v>352423.675</v>
      </c>
    </row>
    <row r="688" customFormat="false" ht="15" hidden="false" customHeight="false" outlineLevel="0" collapsed="false">
      <c r="A688" s="11" t="n">
        <f aca="false">675*$B$3</f>
        <v>337500</v>
      </c>
      <c r="B688" s="11" t="n">
        <f aca="false">0</f>
        <v>0</v>
      </c>
      <c r="C688" s="11" t="n">
        <f aca="false">A688-B688</f>
        <v>337500</v>
      </c>
      <c r="D688" s="11" t="n">
        <f aca="false">IF(Calculator!$B$6="Yes",MIN(B688,'Tax Tables'!$B$31*'Tax Tables'!$B$32),0)</f>
        <v>0</v>
      </c>
      <c r="E688" s="11" t="n">
        <f aca="false">D688*Calculator!$B$7</f>
        <v>0</v>
      </c>
      <c r="F688" s="11" t="n">
        <f aca="false">D688*Calculator!$B$8</f>
        <v>0</v>
      </c>
      <c r="G688" s="11" t="n">
        <f aca="false">IF(B688&gt;0,'Tax Tables'!$B$32*MIN(MAX(B688/'Tax Tables'!$B$32*'Tax Tables'!$B$33,'Tax Tables'!$B$34),'Tax Tables'!$B$35),0)</f>
        <v>0</v>
      </c>
      <c r="H688" s="11" t="n">
        <f aca="false">Calculator!$B$5-A688-F688-G688</f>
        <v>62500</v>
      </c>
      <c r="I688" s="11" t="n">
        <f aca="false">'Tax Tables'!$B$22*(MAX(H688,0)-IF(Calculator!$B$10="Yes",MIN(MAX(H688,0),'Tax Tables'!$B$27)*'Tax Tables'!$B$28+MIN(MAX(MAX(H688,0)-'Tax Tables'!$B$27,0),'Tax Tables'!$B$29)*'Tax Tables'!$B$30,MIN(MAX(H688,0),'Tax Tables'!$B$23)*'Tax Tables'!$B$24+MIN(MAX(MAX(H688,0)-'Tax Tables'!$B$23,0),'Tax Tables'!$B$25)*'Tax Tables'!$B$26))*1-MIN('Tax Tables'!$B$22*(MAX(H688,0)-IF(Calculator!$B$10="Yes",MIN(MAX(H688,0),'Tax Tables'!$B$27)*'Tax Tables'!$B$28+MIN(MAX(MAX(H688,0)-'Tax Tables'!$B$27,0),'Tax Tables'!$B$29)*'Tax Tables'!$B$30,MIN(MAX(H688,0),'Tax Tables'!$B$23)*'Tax Tables'!$B$24+MIN(MAX(MAX(H688,0)-'Tax Tables'!$B$23,0),'Tax Tables'!$B$25)*'Tax Tables'!$B$26))*Calculator!$B$11,Calculator!$B$12)</f>
        <v>4887.5</v>
      </c>
      <c r="J688" s="11" t="n">
        <f aca="false">MAX(H688,0)-I688</f>
        <v>57612.5</v>
      </c>
      <c r="K688" s="11" t="n">
        <f aca="false">MIN(IF(A688&gt;0,Calculator!$B$13,0)+E688+Calculator!$B$14,'Tax Tables'!$B$36)</f>
        <v>1000</v>
      </c>
      <c r="L688" s="11" t="n">
        <f aca="false">MAX(A688-K688,0)</f>
        <v>336500</v>
      </c>
      <c r="M688" s="11" t="n">
        <f aca="false">SUMPRODUCT((L688&gt;'Tax Tables'!$A$5:$A$17)*(L688-'Tax Tables'!$A$5:$A$17)*'Tax Tables'!$C$5:$C$17)</f>
        <v>48180</v>
      </c>
      <c r="N688" s="11" t="n">
        <f aca="false">IF(H688&lt;0,-1E+099,A688-E688-M688+J688+(E688+F688)*Calculator!$B$9)</f>
        <v>346932.5</v>
      </c>
      <c r="O688" s="2"/>
      <c r="P688" s="11" t="n">
        <f aca="false">675*$B$3</f>
        <v>337500</v>
      </c>
      <c r="Q688" s="11" t="n">
        <f aca="false">MIN(P688,'Tax Tables'!$B$31*'Tax Tables'!$B$32)</f>
        <v>96000</v>
      </c>
      <c r="R688" s="11" t="n">
        <f aca="false">P688-Q688</f>
        <v>241500</v>
      </c>
      <c r="S688" s="11" t="n">
        <f aca="false">IF(Calculator!$B$6="Yes",MIN(Q688,'Tax Tables'!$B$31*'Tax Tables'!$B$32),0)</f>
        <v>96000</v>
      </c>
      <c r="T688" s="11" t="n">
        <f aca="false">S688*Calculator!$B$7</f>
        <v>19200</v>
      </c>
      <c r="U688" s="11" t="n">
        <f aca="false">S688*Calculator!$B$8</f>
        <v>16320</v>
      </c>
      <c r="V688" s="11" t="n">
        <f aca="false">IF(Q688&gt;0,'Tax Tables'!$B$32*MIN(MAX(Q688/'Tax Tables'!$B$32*'Tax Tables'!$B$33,'Tax Tables'!$B$34),'Tax Tables'!$B$35),0)</f>
        <v>135</v>
      </c>
      <c r="W688" s="11" t="n">
        <f aca="false">Calculator!$B$5-P688-U688-V688</f>
        <v>46045</v>
      </c>
      <c r="X688" s="11" t="n">
        <f aca="false">'Tax Tables'!$B$22*(MAX(W688,0)-IF(Calculator!$B$10="Yes",MIN(MAX(W688,0),'Tax Tables'!$B$27)*'Tax Tables'!$B$28+MIN(MAX(MAX(W688,0)-'Tax Tables'!$B$27,0),'Tax Tables'!$B$29)*'Tax Tables'!$B$30,MIN(MAX(W688,0),'Tax Tables'!$B$23)*'Tax Tables'!$B$24+MIN(MAX(MAX(W688,0)-'Tax Tables'!$B$23,0),'Tax Tables'!$B$25)*'Tax Tables'!$B$26))*1-MIN('Tax Tables'!$B$22*(MAX(W688,0)-IF(Calculator!$B$10="Yes",MIN(MAX(W688,0),'Tax Tables'!$B$27)*'Tax Tables'!$B$28+MIN(MAX(MAX(W688,0)-'Tax Tables'!$B$27,0),'Tax Tables'!$B$29)*'Tax Tables'!$B$30,MIN(MAX(W688,0),'Tax Tables'!$B$23)*'Tax Tables'!$B$24+MIN(MAX(MAX(W688,0)-'Tax Tables'!$B$23,0),'Tax Tables'!$B$25)*'Tax Tables'!$B$26))*Calculator!$B$11,Calculator!$B$12)</f>
        <v>3488.825</v>
      </c>
      <c r="Y688" s="11" t="n">
        <f aca="false">MAX(W688,0)-X688</f>
        <v>42556.175</v>
      </c>
      <c r="Z688" s="11" t="n">
        <f aca="false">MIN(IF(P688&gt;0,Calculator!$B$13,0)+T688+Calculator!$B$14,'Tax Tables'!$B$36)</f>
        <v>20200</v>
      </c>
      <c r="AA688" s="11" t="n">
        <f aca="false">MAX(P688-Z688,0)</f>
        <v>317300</v>
      </c>
      <c r="AB688" s="11" t="n">
        <f aca="false">SUMPRODUCT((AA688&gt;'Tax Tables'!$A$5:$A$17)*(AA688-'Tax Tables'!$A$5:$A$17)*'Tax Tables'!$C$5:$C$17)</f>
        <v>44010</v>
      </c>
      <c r="AC688" s="11" t="n">
        <f aca="false">IF(W688&lt;0,-1E+099,P688-T688-AB688+Y688+(T688+U688)*Calculator!$B$9)</f>
        <v>352366.175</v>
      </c>
    </row>
    <row r="689" customFormat="false" ht="15" hidden="false" customHeight="false" outlineLevel="0" collapsed="false">
      <c r="A689" s="11" t="n">
        <f aca="false">676*$B$3</f>
        <v>338000</v>
      </c>
      <c r="B689" s="11" t="n">
        <f aca="false">0</f>
        <v>0</v>
      </c>
      <c r="C689" s="11" t="n">
        <f aca="false">A689-B689</f>
        <v>338000</v>
      </c>
      <c r="D689" s="11" t="n">
        <f aca="false">IF(Calculator!$B$6="Yes",MIN(B689,'Tax Tables'!$B$31*'Tax Tables'!$B$32),0)</f>
        <v>0</v>
      </c>
      <c r="E689" s="11" t="n">
        <f aca="false">D689*Calculator!$B$7</f>
        <v>0</v>
      </c>
      <c r="F689" s="11" t="n">
        <f aca="false">D689*Calculator!$B$8</f>
        <v>0</v>
      </c>
      <c r="G689" s="11" t="n">
        <f aca="false">IF(B689&gt;0,'Tax Tables'!$B$32*MIN(MAX(B689/'Tax Tables'!$B$32*'Tax Tables'!$B$33,'Tax Tables'!$B$34),'Tax Tables'!$B$35),0)</f>
        <v>0</v>
      </c>
      <c r="H689" s="11" t="n">
        <f aca="false">Calculator!$B$5-A689-F689-G689</f>
        <v>62000</v>
      </c>
      <c r="I689" s="11" t="n">
        <f aca="false">'Tax Tables'!$B$22*(MAX(H689,0)-IF(Calculator!$B$10="Yes",MIN(MAX(H689,0),'Tax Tables'!$B$27)*'Tax Tables'!$B$28+MIN(MAX(MAX(H689,0)-'Tax Tables'!$B$27,0),'Tax Tables'!$B$29)*'Tax Tables'!$B$30,MIN(MAX(H689,0),'Tax Tables'!$B$23)*'Tax Tables'!$B$24+MIN(MAX(MAX(H689,0)-'Tax Tables'!$B$23,0),'Tax Tables'!$B$25)*'Tax Tables'!$B$26))*1-MIN('Tax Tables'!$B$22*(MAX(H689,0)-IF(Calculator!$B$10="Yes",MIN(MAX(H689,0),'Tax Tables'!$B$27)*'Tax Tables'!$B$28+MIN(MAX(MAX(H689,0)-'Tax Tables'!$B$27,0),'Tax Tables'!$B$29)*'Tax Tables'!$B$30,MIN(MAX(H689,0),'Tax Tables'!$B$23)*'Tax Tables'!$B$24+MIN(MAX(MAX(H689,0)-'Tax Tables'!$B$23,0),'Tax Tables'!$B$25)*'Tax Tables'!$B$26))*Calculator!$B$11,Calculator!$B$12)</f>
        <v>4845</v>
      </c>
      <c r="J689" s="11" t="n">
        <f aca="false">MAX(H689,0)-I689</f>
        <v>57155</v>
      </c>
      <c r="K689" s="11" t="n">
        <f aca="false">MIN(IF(A689&gt;0,Calculator!$B$13,0)+E689+Calculator!$B$14,'Tax Tables'!$B$36)</f>
        <v>1000</v>
      </c>
      <c r="L689" s="11" t="n">
        <f aca="false">MAX(A689-K689,0)</f>
        <v>337000</v>
      </c>
      <c r="M689" s="11" t="n">
        <f aca="false">SUMPRODUCT((L689&gt;'Tax Tables'!$A$5:$A$17)*(L689-'Tax Tables'!$A$5:$A$17)*'Tax Tables'!$C$5:$C$17)</f>
        <v>48290</v>
      </c>
      <c r="N689" s="11" t="n">
        <f aca="false">IF(H689&lt;0,-1E+099,A689-E689-M689+J689+(E689+F689)*Calculator!$B$9)</f>
        <v>346865</v>
      </c>
      <c r="O689" s="2"/>
      <c r="P689" s="11" t="n">
        <f aca="false">676*$B$3</f>
        <v>338000</v>
      </c>
      <c r="Q689" s="11" t="n">
        <f aca="false">MIN(P689,'Tax Tables'!$B$31*'Tax Tables'!$B$32)</f>
        <v>96000</v>
      </c>
      <c r="R689" s="11" t="n">
        <f aca="false">P689-Q689</f>
        <v>242000</v>
      </c>
      <c r="S689" s="11" t="n">
        <f aca="false">IF(Calculator!$B$6="Yes",MIN(Q689,'Tax Tables'!$B$31*'Tax Tables'!$B$32),0)</f>
        <v>96000</v>
      </c>
      <c r="T689" s="11" t="n">
        <f aca="false">S689*Calculator!$B$7</f>
        <v>19200</v>
      </c>
      <c r="U689" s="11" t="n">
        <f aca="false">S689*Calculator!$B$8</f>
        <v>16320</v>
      </c>
      <c r="V689" s="11" t="n">
        <f aca="false">IF(Q689&gt;0,'Tax Tables'!$B$32*MIN(MAX(Q689/'Tax Tables'!$B$32*'Tax Tables'!$B$33,'Tax Tables'!$B$34),'Tax Tables'!$B$35),0)</f>
        <v>135</v>
      </c>
      <c r="W689" s="11" t="n">
        <f aca="false">Calculator!$B$5-P689-U689-V689</f>
        <v>45545</v>
      </c>
      <c r="X689" s="11" t="n">
        <f aca="false">'Tax Tables'!$B$22*(MAX(W689,0)-IF(Calculator!$B$10="Yes",MIN(MAX(W689,0),'Tax Tables'!$B$27)*'Tax Tables'!$B$28+MIN(MAX(MAX(W689,0)-'Tax Tables'!$B$27,0),'Tax Tables'!$B$29)*'Tax Tables'!$B$30,MIN(MAX(W689,0),'Tax Tables'!$B$23)*'Tax Tables'!$B$24+MIN(MAX(MAX(W689,0)-'Tax Tables'!$B$23,0),'Tax Tables'!$B$25)*'Tax Tables'!$B$26))*1-MIN('Tax Tables'!$B$22*(MAX(W689,0)-IF(Calculator!$B$10="Yes",MIN(MAX(W689,0),'Tax Tables'!$B$27)*'Tax Tables'!$B$28+MIN(MAX(MAX(W689,0)-'Tax Tables'!$B$27,0),'Tax Tables'!$B$29)*'Tax Tables'!$B$30,MIN(MAX(W689,0),'Tax Tables'!$B$23)*'Tax Tables'!$B$24+MIN(MAX(MAX(W689,0)-'Tax Tables'!$B$23,0),'Tax Tables'!$B$25)*'Tax Tables'!$B$26))*Calculator!$B$11,Calculator!$B$12)</f>
        <v>3446.325</v>
      </c>
      <c r="Y689" s="11" t="n">
        <f aca="false">MAX(W689,0)-X689</f>
        <v>42098.675</v>
      </c>
      <c r="Z689" s="11" t="n">
        <f aca="false">MIN(IF(P689&gt;0,Calculator!$B$13,0)+T689+Calculator!$B$14,'Tax Tables'!$B$36)</f>
        <v>20200</v>
      </c>
      <c r="AA689" s="11" t="n">
        <f aca="false">MAX(P689-Z689,0)</f>
        <v>317800</v>
      </c>
      <c r="AB689" s="11" t="n">
        <f aca="false">SUMPRODUCT((AA689&gt;'Tax Tables'!$A$5:$A$17)*(AA689-'Tax Tables'!$A$5:$A$17)*'Tax Tables'!$C$5:$C$17)</f>
        <v>44110</v>
      </c>
      <c r="AC689" s="11" t="n">
        <f aca="false">IF(W689&lt;0,-1E+099,P689-T689-AB689+Y689+(T689+U689)*Calculator!$B$9)</f>
        <v>352308.675</v>
      </c>
    </row>
    <row r="690" customFormat="false" ht="15" hidden="false" customHeight="false" outlineLevel="0" collapsed="false">
      <c r="A690" s="11" t="n">
        <f aca="false">677*$B$3</f>
        <v>338500</v>
      </c>
      <c r="B690" s="11" t="n">
        <f aca="false">0</f>
        <v>0</v>
      </c>
      <c r="C690" s="11" t="n">
        <f aca="false">A690-B690</f>
        <v>338500</v>
      </c>
      <c r="D690" s="11" t="n">
        <f aca="false">IF(Calculator!$B$6="Yes",MIN(B690,'Tax Tables'!$B$31*'Tax Tables'!$B$32),0)</f>
        <v>0</v>
      </c>
      <c r="E690" s="11" t="n">
        <f aca="false">D690*Calculator!$B$7</f>
        <v>0</v>
      </c>
      <c r="F690" s="11" t="n">
        <f aca="false">D690*Calculator!$B$8</f>
        <v>0</v>
      </c>
      <c r="G690" s="11" t="n">
        <f aca="false">IF(B690&gt;0,'Tax Tables'!$B$32*MIN(MAX(B690/'Tax Tables'!$B$32*'Tax Tables'!$B$33,'Tax Tables'!$B$34),'Tax Tables'!$B$35),0)</f>
        <v>0</v>
      </c>
      <c r="H690" s="11" t="n">
        <f aca="false">Calculator!$B$5-A690-F690-G690</f>
        <v>61500</v>
      </c>
      <c r="I690" s="11" t="n">
        <f aca="false">'Tax Tables'!$B$22*(MAX(H690,0)-IF(Calculator!$B$10="Yes",MIN(MAX(H690,0),'Tax Tables'!$B$27)*'Tax Tables'!$B$28+MIN(MAX(MAX(H690,0)-'Tax Tables'!$B$27,0),'Tax Tables'!$B$29)*'Tax Tables'!$B$30,MIN(MAX(H690,0),'Tax Tables'!$B$23)*'Tax Tables'!$B$24+MIN(MAX(MAX(H690,0)-'Tax Tables'!$B$23,0),'Tax Tables'!$B$25)*'Tax Tables'!$B$26))*1-MIN('Tax Tables'!$B$22*(MAX(H690,0)-IF(Calculator!$B$10="Yes",MIN(MAX(H690,0),'Tax Tables'!$B$27)*'Tax Tables'!$B$28+MIN(MAX(MAX(H690,0)-'Tax Tables'!$B$27,0),'Tax Tables'!$B$29)*'Tax Tables'!$B$30,MIN(MAX(H690,0),'Tax Tables'!$B$23)*'Tax Tables'!$B$24+MIN(MAX(MAX(H690,0)-'Tax Tables'!$B$23,0),'Tax Tables'!$B$25)*'Tax Tables'!$B$26))*Calculator!$B$11,Calculator!$B$12)</f>
        <v>4802.5</v>
      </c>
      <c r="J690" s="11" t="n">
        <f aca="false">MAX(H690,0)-I690</f>
        <v>56697.5</v>
      </c>
      <c r="K690" s="11" t="n">
        <f aca="false">MIN(IF(A690&gt;0,Calculator!$B$13,0)+E690+Calculator!$B$14,'Tax Tables'!$B$36)</f>
        <v>1000</v>
      </c>
      <c r="L690" s="11" t="n">
        <f aca="false">MAX(A690-K690,0)</f>
        <v>337500</v>
      </c>
      <c r="M690" s="11" t="n">
        <f aca="false">SUMPRODUCT((L690&gt;'Tax Tables'!$A$5:$A$17)*(L690-'Tax Tables'!$A$5:$A$17)*'Tax Tables'!$C$5:$C$17)</f>
        <v>48400</v>
      </c>
      <c r="N690" s="11" t="n">
        <f aca="false">IF(H690&lt;0,-1E+099,A690-E690-M690+J690+(E690+F690)*Calculator!$B$9)</f>
        <v>346797.5</v>
      </c>
      <c r="O690" s="2"/>
      <c r="P690" s="11" t="n">
        <f aca="false">677*$B$3</f>
        <v>338500</v>
      </c>
      <c r="Q690" s="11" t="n">
        <f aca="false">MIN(P690,'Tax Tables'!$B$31*'Tax Tables'!$B$32)</f>
        <v>96000</v>
      </c>
      <c r="R690" s="11" t="n">
        <f aca="false">P690-Q690</f>
        <v>242500</v>
      </c>
      <c r="S690" s="11" t="n">
        <f aca="false">IF(Calculator!$B$6="Yes",MIN(Q690,'Tax Tables'!$B$31*'Tax Tables'!$B$32),0)</f>
        <v>96000</v>
      </c>
      <c r="T690" s="11" t="n">
        <f aca="false">S690*Calculator!$B$7</f>
        <v>19200</v>
      </c>
      <c r="U690" s="11" t="n">
        <f aca="false">S690*Calculator!$B$8</f>
        <v>16320</v>
      </c>
      <c r="V690" s="11" t="n">
        <f aca="false">IF(Q690&gt;0,'Tax Tables'!$B$32*MIN(MAX(Q690/'Tax Tables'!$B$32*'Tax Tables'!$B$33,'Tax Tables'!$B$34),'Tax Tables'!$B$35),0)</f>
        <v>135</v>
      </c>
      <c r="W690" s="11" t="n">
        <f aca="false">Calculator!$B$5-P690-U690-V690</f>
        <v>45045</v>
      </c>
      <c r="X690" s="11" t="n">
        <f aca="false">'Tax Tables'!$B$22*(MAX(W690,0)-IF(Calculator!$B$10="Yes",MIN(MAX(W690,0),'Tax Tables'!$B$27)*'Tax Tables'!$B$28+MIN(MAX(MAX(W690,0)-'Tax Tables'!$B$27,0),'Tax Tables'!$B$29)*'Tax Tables'!$B$30,MIN(MAX(W690,0),'Tax Tables'!$B$23)*'Tax Tables'!$B$24+MIN(MAX(MAX(W690,0)-'Tax Tables'!$B$23,0),'Tax Tables'!$B$25)*'Tax Tables'!$B$26))*1-MIN('Tax Tables'!$B$22*(MAX(W690,0)-IF(Calculator!$B$10="Yes",MIN(MAX(W690,0),'Tax Tables'!$B$27)*'Tax Tables'!$B$28+MIN(MAX(MAX(W690,0)-'Tax Tables'!$B$27,0),'Tax Tables'!$B$29)*'Tax Tables'!$B$30,MIN(MAX(W690,0),'Tax Tables'!$B$23)*'Tax Tables'!$B$24+MIN(MAX(MAX(W690,0)-'Tax Tables'!$B$23,0),'Tax Tables'!$B$25)*'Tax Tables'!$B$26))*Calculator!$B$11,Calculator!$B$12)</f>
        <v>3403.825</v>
      </c>
      <c r="Y690" s="11" t="n">
        <f aca="false">MAX(W690,0)-X690</f>
        <v>41641.175</v>
      </c>
      <c r="Z690" s="11" t="n">
        <f aca="false">MIN(IF(P690&gt;0,Calculator!$B$13,0)+T690+Calculator!$B$14,'Tax Tables'!$B$36)</f>
        <v>20200</v>
      </c>
      <c r="AA690" s="11" t="n">
        <f aca="false">MAX(P690-Z690,0)</f>
        <v>318300</v>
      </c>
      <c r="AB690" s="11" t="n">
        <f aca="false">SUMPRODUCT((AA690&gt;'Tax Tables'!$A$5:$A$17)*(AA690-'Tax Tables'!$A$5:$A$17)*'Tax Tables'!$C$5:$C$17)</f>
        <v>44210</v>
      </c>
      <c r="AC690" s="11" t="n">
        <f aca="false">IF(W690&lt;0,-1E+099,P690-T690-AB690+Y690+(T690+U690)*Calculator!$B$9)</f>
        <v>352251.175</v>
      </c>
    </row>
    <row r="691" customFormat="false" ht="15" hidden="false" customHeight="false" outlineLevel="0" collapsed="false">
      <c r="A691" s="11" t="n">
        <f aca="false">678*$B$3</f>
        <v>339000</v>
      </c>
      <c r="B691" s="11" t="n">
        <f aca="false">0</f>
        <v>0</v>
      </c>
      <c r="C691" s="11" t="n">
        <f aca="false">A691-B691</f>
        <v>339000</v>
      </c>
      <c r="D691" s="11" t="n">
        <f aca="false">IF(Calculator!$B$6="Yes",MIN(B691,'Tax Tables'!$B$31*'Tax Tables'!$B$32),0)</f>
        <v>0</v>
      </c>
      <c r="E691" s="11" t="n">
        <f aca="false">D691*Calculator!$B$7</f>
        <v>0</v>
      </c>
      <c r="F691" s="11" t="n">
        <f aca="false">D691*Calculator!$B$8</f>
        <v>0</v>
      </c>
      <c r="G691" s="11" t="n">
        <f aca="false">IF(B691&gt;0,'Tax Tables'!$B$32*MIN(MAX(B691/'Tax Tables'!$B$32*'Tax Tables'!$B$33,'Tax Tables'!$B$34),'Tax Tables'!$B$35),0)</f>
        <v>0</v>
      </c>
      <c r="H691" s="11" t="n">
        <f aca="false">Calculator!$B$5-A691-F691-G691</f>
        <v>61000</v>
      </c>
      <c r="I691" s="11" t="n">
        <f aca="false">'Tax Tables'!$B$22*(MAX(H691,0)-IF(Calculator!$B$10="Yes",MIN(MAX(H691,0),'Tax Tables'!$B$27)*'Tax Tables'!$B$28+MIN(MAX(MAX(H691,0)-'Tax Tables'!$B$27,0),'Tax Tables'!$B$29)*'Tax Tables'!$B$30,MIN(MAX(H691,0),'Tax Tables'!$B$23)*'Tax Tables'!$B$24+MIN(MAX(MAX(H691,0)-'Tax Tables'!$B$23,0),'Tax Tables'!$B$25)*'Tax Tables'!$B$26))*1-MIN('Tax Tables'!$B$22*(MAX(H691,0)-IF(Calculator!$B$10="Yes",MIN(MAX(H691,0),'Tax Tables'!$B$27)*'Tax Tables'!$B$28+MIN(MAX(MAX(H691,0)-'Tax Tables'!$B$27,0),'Tax Tables'!$B$29)*'Tax Tables'!$B$30,MIN(MAX(H691,0),'Tax Tables'!$B$23)*'Tax Tables'!$B$24+MIN(MAX(MAX(H691,0)-'Tax Tables'!$B$23,0),'Tax Tables'!$B$25)*'Tax Tables'!$B$26))*Calculator!$B$11,Calculator!$B$12)</f>
        <v>4760</v>
      </c>
      <c r="J691" s="11" t="n">
        <f aca="false">MAX(H691,0)-I691</f>
        <v>56240</v>
      </c>
      <c r="K691" s="11" t="n">
        <f aca="false">MIN(IF(A691&gt;0,Calculator!$B$13,0)+E691+Calculator!$B$14,'Tax Tables'!$B$36)</f>
        <v>1000</v>
      </c>
      <c r="L691" s="11" t="n">
        <f aca="false">MAX(A691-K691,0)</f>
        <v>338000</v>
      </c>
      <c r="M691" s="11" t="n">
        <f aca="false">SUMPRODUCT((L691&gt;'Tax Tables'!$A$5:$A$17)*(L691-'Tax Tables'!$A$5:$A$17)*'Tax Tables'!$C$5:$C$17)</f>
        <v>48510</v>
      </c>
      <c r="N691" s="11" t="n">
        <f aca="false">IF(H691&lt;0,-1E+099,A691-E691-M691+J691+(E691+F691)*Calculator!$B$9)</f>
        <v>346730</v>
      </c>
      <c r="O691" s="2"/>
      <c r="P691" s="11" t="n">
        <f aca="false">678*$B$3</f>
        <v>339000</v>
      </c>
      <c r="Q691" s="11" t="n">
        <f aca="false">MIN(P691,'Tax Tables'!$B$31*'Tax Tables'!$B$32)</f>
        <v>96000</v>
      </c>
      <c r="R691" s="11" t="n">
        <f aca="false">P691-Q691</f>
        <v>243000</v>
      </c>
      <c r="S691" s="11" t="n">
        <f aca="false">IF(Calculator!$B$6="Yes",MIN(Q691,'Tax Tables'!$B$31*'Tax Tables'!$B$32),0)</f>
        <v>96000</v>
      </c>
      <c r="T691" s="11" t="n">
        <f aca="false">S691*Calculator!$B$7</f>
        <v>19200</v>
      </c>
      <c r="U691" s="11" t="n">
        <f aca="false">S691*Calculator!$B$8</f>
        <v>16320</v>
      </c>
      <c r="V691" s="11" t="n">
        <f aca="false">IF(Q691&gt;0,'Tax Tables'!$B$32*MIN(MAX(Q691/'Tax Tables'!$B$32*'Tax Tables'!$B$33,'Tax Tables'!$B$34),'Tax Tables'!$B$35),0)</f>
        <v>135</v>
      </c>
      <c r="W691" s="11" t="n">
        <f aca="false">Calculator!$B$5-P691-U691-V691</f>
        <v>44545</v>
      </c>
      <c r="X691" s="11" t="n">
        <f aca="false">'Tax Tables'!$B$22*(MAX(W691,0)-IF(Calculator!$B$10="Yes",MIN(MAX(W691,0),'Tax Tables'!$B$27)*'Tax Tables'!$B$28+MIN(MAX(MAX(W691,0)-'Tax Tables'!$B$27,0),'Tax Tables'!$B$29)*'Tax Tables'!$B$30,MIN(MAX(W691,0),'Tax Tables'!$B$23)*'Tax Tables'!$B$24+MIN(MAX(MAX(W691,0)-'Tax Tables'!$B$23,0),'Tax Tables'!$B$25)*'Tax Tables'!$B$26))*1-MIN('Tax Tables'!$B$22*(MAX(W691,0)-IF(Calculator!$B$10="Yes",MIN(MAX(W691,0),'Tax Tables'!$B$27)*'Tax Tables'!$B$28+MIN(MAX(MAX(W691,0)-'Tax Tables'!$B$27,0),'Tax Tables'!$B$29)*'Tax Tables'!$B$30,MIN(MAX(W691,0),'Tax Tables'!$B$23)*'Tax Tables'!$B$24+MIN(MAX(MAX(W691,0)-'Tax Tables'!$B$23,0),'Tax Tables'!$B$25)*'Tax Tables'!$B$26))*Calculator!$B$11,Calculator!$B$12)</f>
        <v>3361.325</v>
      </c>
      <c r="Y691" s="11" t="n">
        <f aca="false">MAX(W691,0)-X691</f>
        <v>41183.675</v>
      </c>
      <c r="Z691" s="11" t="n">
        <f aca="false">MIN(IF(P691&gt;0,Calculator!$B$13,0)+T691+Calculator!$B$14,'Tax Tables'!$B$36)</f>
        <v>20200</v>
      </c>
      <c r="AA691" s="11" t="n">
        <f aca="false">MAX(P691-Z691,0)</f>
        <v>318800</v>
      </c>
      <c r="AB691" s="11" t="n">
        <f aca="false">SUMPRODUCT((AA691&gt;'Tax Tables'!$A$5:$A$17)*(AA691-'Tax Tables'!$A$5:$A$17)*'Tax Tables'!$C$5:$C$17)</f>
        <v>44310</v>
      </c>
      <c r="AC691" s="11" t="n">
        <f aca="false">IF(W691&lt;0,-1E+099,P691-T691-AB691+Y691+(T691+U691)*Calculator!$B$9)</f>
        <v>352193.675</v>
      </c>
    </row>
    <row r="692" customFormat="false" ht="15" hidden="false" customHeight="false" outlineLevel="0" collapsed="false">
      <c r="A692" s="11" t="n">
        <f aca="false">679*$B$3</f>
        <v>339500</v>
      </c>
      <c r="B692" s="11" t="n">
        <f aca="false">0</f>
        <v>0</v>
      </c>
      <c r="C692" s="11" t="n">
        <f aca="false">A692-B692</f>
        <v>339500</v>
      </c>
      <c r="D692" s="11" t="n">
        <f aca="false">IF(Calculator!$B$6="Yes",MIN(B692,'Tax Tables'!$B$31*'Tax Tables'!$B$32),0)</f>
        <v>0</v>
      </c>
      <c r="E692" s="11" t="n">
        <f aca="false">D692*Calculator!$B$7</f>
        <v>0</v>
      </c>
      <c r="F692" s="11" t="n">
        <f aca="false">D692*Calculator!$B$8</f>
        <v>0</v>
      </c>
      <c r="G692" s="11" t="n">
        <f aca="false">IF(B692&gt;0,'Tax Tables'!$B$32*MIN(MAX(B692/'Tax Tables'!$B$32*'Tax Tables'!$B$33,'Tax Tables'!$B$34),'Tax Tables'!$B$35),0)</f>
        <v>0</v>
      </c>
      <c r="H692" s="11" t="n">
        <f aca="false">Calculator!$B$5-A692-F692-G692</f>
        <v>60500</v>
      </c>
      <c r="I692" s="11" t="n">
        <f aca="false">'Tax Tables'!$B$22*(MAX(H692,0)-IF(Calculator!$B$10="Yes",MIN(MAX(H692,0),'Tax Tables'!$B$27)*'Tax Tables'!$B$28+MIN(MAX(MAX(H692,0)-'Tax Tables'!$B$27,0),'Tax Tables'!$B$29)*'Tax Tables'!$B$30,MIN(MAX(H692,0),'Tax Tables'!$B$23)*'Tax Tables'!$B$24+MIN(MAX(MAX(H692,0)-'Tax Tables'!$B$23,0),'Tax Tables'!$B$25)*'Tax Tables'!$B$26))*1-MIN('Tax Tables'!$B$22*(MAX(H692,0)-IF(Calculator!$B$10="Yes",MIN(MAX(H692,0),'Tax Tables'!$B$27)*'Tax Tables'!$B$28+MIN(MAX(MAX(H692,0)-'Tax Tables'!$B$27,0),'Tax Tables'!$B$29)*'Tax Tables'!$B$30,MIN(MAX(H692,0),'Tax Tables'!$B$23)*'Tax Tables'!$B$24+MIN(MAX(MAX(H692,0)-'Tax Tables'!$B$23,0),'Tax Tables'!$B$25)*'Tax Tables'!$B$26))*Calculator!$B$11,Calculator!$B$12)</f>
        <v>4717.5</v>
      </c>
      <c r="J692" s="11" t="n">
        <f aca="false">MAX(H692,0)-I692</f>
        <v>55782.5</v>
      </c>
      <c r="K692" s="11" t="n">
        <f aca="false">MIN(IF(A692&gt;0,Calculator!$B$13,0)+E692+Calculator!$B$14,'Tax Tables'!$B$36)</f>
        <v>1000</v>
      </c>
      <c r="L692" s="11" t="n">
        <f aca="false">MAX(A692-K692,0)</f>
        <v>338500</v>
      </c>
      <c r="M692" s="11" t="n">
        <f aca="false">SUMPRODUCT((L692&gt;'Tax Tables'!$A$5:$A$17)*(L692-'Tax Tables'!$A$5:$A$17)*'Tax Tables'!$C$5:$C$17)</f>
        <v>48620</v>
      </c>
      <c r="N692" s="11" t="n">
        <f aca="false">IF(H692&lt;0,-1E+099,A692-E692-M692+J692+(E692+F692)*Calculator!$B$9)</f>
        <v>346662.5</v>
      </c>
      <c r="O692" s="2"/>
      <c r="P692" s="11" t="n">
        <f aca="false">679*$B$3</f>
        <v>339500</v>
      </c>
      <c r="Q692" s="11" t="n">
        <f aca="false">MIN(P692,'Tax Tables'!$B$31*'Tax Tables'!$B$32)</f>
        <v>96000</v>
      </c>
      <c r="R692" s="11" t="n">
        <f aca="false">P692-Q692</f>
        <v>243500</v>
      </c>
      <c r="S692" s="11" t="n">
        <f aca="false">IF(Calculator!$B$6="Yes",MIN(Q692,'Tax Tables'!$B$31*'Tax Tables'!$B$32),0)</f>
        <v>96000</v>
      </c>
      <c r="T692" s="11" t="n">
        <f aca="false">S692*Calculator!$B$7</f>
        <v>19200</v>
      </c>
      <c r="U692" s="11" t="n">
        <f aca="false">S692*Calculator!$B$8</f>
        <v>16320</v>
      </c>
      <c r="V692" s="11" t="n">
        <f aca="false">IF(Q692&gt;0,'Tax Tables'!$B$32*MIN(MAX(Q692/'Tax Tables'!$B$32*'Tax Tables'!$B$33,'Tax Tables'!$B$34),'Tax Tables'!$B$35),0)</f>
        <v>135</v>
      </c>
      <c r="W692" s="11" t="n">
        <f aca="false">Calculator!$B$5-P692-U692-V692</f>
        <v>44045</v>
      </c>
      <c r="X692" s="11" t="n">
        <f aca="false">'Tax Tables'!$B$22*(MAX(W692,0)-IF(Calculator!$B$10="Yes",MIN(MAX(W692,0),'Tax Tables'!$B$27)*'Tax Tables'!$B$28+MIN(MAX(MAX(W692,0)-'Tax Tables'!$B$27,0),'Tax Tables'!$B$29)*'Tax Tables'!$B$30,MIN(MAX(W692,0),'Tax Tables'!$B$23)*'Tax Tables'!$B$24+MIN(MAX(MAX(W692,0)-'Tax Tables'!$B$23,0),'Tax Tables'!$B$25)*'Tax Tables'!$B$26))*1-MIN('Tax Tables'!$B$22*(MAX(W692,0)-IF(Calculator!$B$10="Yes",MIN(MAX(W692,0),'Tax Tables'!$B$27)*'Tax Tables'!$B$28+MIN(MAX(MAX(W692,0)-'Tax Tables'!$B$27,0),'Tax Tables'!$B$29)*'Tax Tables'!$B$30,MIN(MAX(W692,0),'Tax Tables'!$B$23)*'Tax Tables'!$B$24+MIN(MAX(MAX(W692,0)-'Tax Tables'!$B$23,0),'Tax Tables'!$B$25)*'Tax Tables'!$B$26))*Calculator!$B$11,Calculator!$B$12)</f>
        <v>3318.825</v>
      </c>
      <c r="Y692" s="11" t="n">
        <f aca="false">MAX(W692,0)-X692</f>
        <v>40726.175</v>
      </c>
      <c r="Z692" s="11" t="n">
        <f aca="false">MIN(IF(P692&gt;0,Calculator!$B$13,0)+T692+Calculator!$B$14,'Tax Tables'!$B$36)</f>
        <v>20200</v>
      </c>
      <c r="AA692" s="11" t="n">
        <f aca="false">MAX(P692-Z692,0)</f>
        <v>319300</v>
      </c>
      <c r="AB692" s="11" t="n">
        <f aca="false">SUMPRODUCT((AA692&gt;'Tax Tables'!$A$5:$A$17)*(AA692-'Tax Tables'!$A$5:$A$17)*'Tax Tables'!$C$5:$C$17)</f>
        <v>44410</v>
      </c>
      <c r="AC692" s="11" t="n">
        <f aca="false">IF(W692&lt;0,-1E+099,P692-T692-AB692+Y692+(T692+U692)*Calculator!$B$9)</f>
        <v>352136.175</v>
      </c>
    </row>
    <row r="693" customFormat="false" ht="15" hidden="false" customHeight="false" outlineLevel="0" collapsed="false">
      <c r="A693" s="11" t="n">
        <f aca="false">680*$B$3</f>
        <v>340000</v>
      </c>
      <c r="B693" s="11" t="n">
        <f aca="false">0</f>
        <v>0</v>
      </c>
      <c r="C693" s="11" t="n">
        <f aca="false">A693-B693</f>
        <v>340000</v>
      </c>
      <c r="D693" s="11" t="n">
        <f aca="false">IF(Calculator!$B$6="Yes",MIN(B693,'Tax Tables'!$B$31*'Tax Tables'!$B$32),0)</f>
        <v>0</v>
      </c>
      <c r="E693" s="11" t="n">
        <f aca="false">D693*Calculator!$B$7</f>
        <v>0</v>
      </c>
      <c r="F693" s="11" t="n">
        <f aca="false">D693*Calculator!$B$8</f>
        <v>0</v>
      </c>
      <c r="G693" s="11" t="n">
        <f aca="false">IF(B693&gt;0,'Tax Tables'!$B$32*MIN(MAX(B693/'Tax Tables'!$B$32*'Tax Tables'!$B$33,'Tax Tables'!$B$34),'Tax Tables'!$B$35),0)</f>
        <v>0</v>
      </c>
      <c r="H693" s="11" t="n">
        <f aca="false">Calculator!$B$5-A693-F693-G693</f>
        <v>60000</v>
      </c>
      <c r="I693" s="11" t="n">
        <f aca="false">'Tax Tables'!$B$22*(MAX(H693,0)-IF(Calculator!$B$10="Yes",MIN(MAX(H693,0),'Tax Tables'!$B$27)*'Tax Tables'!$B$28+MIN(MAX(MAX(H693,0)-'Tax Tables'!$B$27,0),'Tax Tables'!$B$29)*'Tax Tables'!$B$30,MIN(MAX(H693,0),'Tax Tables'!$B$23)*'Tax Tables'!$B$24+MIN(MAX(MAX(H693,0)-'Tax Tables'!$B$23,0),'Tax Tables'!$B$25)*'Tax Tables'!$B$26))*1-MIN('Tax Tables'!$B$22*(MAX(H693,0)-IF(Calculator!$B$10="Yes",MIN(MAX(H693,0),'Tax Tables'!$B$27)*'Tax Tables'!$B$28+MIN(MAX(MAX(H693,0)-'Tax Tables'!$B$27,0),'Tax Tables'!$B$29)*'Tax Tables'!$B$30,MIN(MAX(H693,0),'Tax Tables'!$B$23)*'Tax Tables'!$B$24+MIN(MAX(MAX(H693,0)-'Tax Tables'!$B$23,0),'Tax Tables'!$B$25)*'Tax Tables'!$B$26))*Calculator!$B$11,Calculator!$B$12)</f>
        <v>4675</v>
      </c>
      <c r="J693" s="11" t="n">
        <f aca="false">MAX(H693,0)-I693</f>
        <v>55325</v>
      </c>
      <c r="K693" s="11" t="n">
        <f aca="false">MIN(IF(A693&gt;0,Calculator!$B$13,0)+E693+Calculator!$B$14,'Tax Tables'!$B$36)</f>
        <v>1000</v>
      </c>
      <c r="L693" s="11" t="n">
        <f aca="false">MAX(A693-K693,0)</f>
        <v>339000</v>
      </c>
      <c r="M693" s="11" t="n">
        <f aca="false">SUMPRODUCT((L693&gt;'Tax Tables'!$A$5:$A$17)*(L693-'Tax Tables'!$A$5:$A$17)*'Tax Tables'!$C$5:$C$17)</f>
        <v>48730</v>
      </c>
      <c r="N693" s="11" t="n">
        <f aca="false">IF(H693&lt;0,-1E+099,A693-E693-M693+J693+(E693+F693)*Calculator!$B$9)</f>
        <v>346595</v>
      </c>
      <c r="O693" s="2"/>
      <c r="P693" s="11" t="n">
        <f aca="false">680*$B$3</f>
        <v>340000</v>
      </c>
      <c r="Q693" s="11" t="n">
        <f aca="false">MIN(P693,'Tax Tables'!$B$31*'Tax Tables'!$B$32)</f>
        <v>96000</v>
      </c>
      <c r="R693" s="11" t="n">
        <f aca="false">P693-Q693</f>
        <v>244000</v>
      </c>
      <c r="S693" s="11" t="n">
        <f aca="false">IF(Calculator!$B$6="Yes",MIN(Q693,'Tax Tables'!$B$31*'Tax Tables'!$B$32),0)</f>
        <v>96000</v>
      </c>
      <c r="T693" s="11" t="n">
        <f aca="false">S693*Calculator!$B$7</f>
        <v>19200</v>
      </c>
      <c r="U693" s="11" t="n">
        <f aca="false">S693*Calculator!$B$8</f>
        <v>16320</v>
      </c>
      <c r="V693" s="11" t="n">
        <f aca="false">IF(Q693&gt;0,'Tax Tables'!$B$32*MIN(MAX(Q693/'Tax Tables'!$B$32*'Tax Tables'!$B$33,'Tax Tables'!$B$34),'Tax Tables'!$B$35),0)</f>
        <v>135</v>
      </c>
      <c r="W693" s="11" t="n">
        <f aca="false">Calculator!$B$5-P693-U693-V693</f>
        <v>43545</v>
      </c>
      <c r="X693" s="11" t="n">
        <f aca="false">'Tax Tables'!$B$22*(MAX(W693,0)-IF(Calculator!$B$10="Yes",MIN(MAX(W693,0),'Tax Tables'!$B$27)*'Tax Tables'!$B$28+MIN(MAX(MAX(W693,0)-'Tax Tables'!$B$27,0),'Tax Tables'!$B$29)*'Tax Tables'!$B$30,MIN(MAX(W693,0),'Tax Tables'!$B$23)*'Tax Tables'!$B$24+MIN(MAX(MAX(W693,0)-'Tax Tables'!$B$23,0),'Tax Tables'!$B$25)*'Tax Tables'!$B$26))*1-MIN('Tax Tables'!$B$22*(MAX(W693,0)-IF(Calculator!$B$10="Yes",MIN(MAX(W693,0),'Tax Tables'!$B$27)*'Tax Tables'!$B$28+MIN(MAX(MAX(W693,0)-'Tax Tables'!$B$27,0),'Tax Tables'!$B$29)*'Tax Tables'!$B$30,MIN(MAX(W693,0),'Tax Tables'!$B$23)*'Tax Tables'!$B$24+MIN(MAX(MAX(W693,0)-'Tax Tables'!$B$23,0),'Tax Tables'!$B$25)*'Tax Tables'!$B$26))*Calculator!$B$11,Calculator!$B$12)</f>
        <v>3276.325</v>
      </c>
      <c r="Y693" s="11" t="n">
        <f aca="false">MAX(W693,0)-X693</f>
        <v>40268.675</v>
      </c>
      <c r="Z693" s="11" t="n">
        <f aca="false">MIN(IF(P693&gt;0,Calculator!$B$13,0)+T693+Calculator!$B$14,'Tax Tables'!$B$36)</f>
        <v>20200</v>
      </c>
      <c r="AA693" s="11" t="n">
        <f aca="false">MAX(P693-Z693,0)</f>
        <v>319800</v>
      </c>
      <c r="AB693" s="11" t="n">
        <f aca="false">SUMPRODUCT((AA693&gt;'Tax Tables'!$A$5:$A$17)*(AA693-'Tax Tables'!$A$5:$A$17)*'Tax Tables'!$C$5:$C$17)</f>
        <v>44510</v>
      </c>
      <c r="AC693" s="11" t="n">
        <f aca="false">IF(W693&lt;0,-1E+099,P693-T693-AB693+Y693+(T693+U693)*Calculator!$B$9)</f>
        <v>352078.675</v>
      </c>
    </row>
    <row r="694" customFormat="false" ht="15" hidden="false" customHeight="false" outlineLevel="0" collapsed="false">
      <c r="A694" s="11" t="n">
        <f aca="false">681*$B$3</f>
        <v>340500</v>
      </c>
      <c r="B694" s="11" t="n">
        <f aca="false">0</f>
        <v>0</v>
      </c>
      <c r="C694" s="11" t="n">
        <f aca="false">A694-B694</f>
        <v>340500</v>
      </c>
      <c r="D694" s="11" t="n">
        <f aca="false">IF(Calculator!$B$6="Yes",MIN(B694,'Tax Tables'!$B$31*'Tax Tables'!$B$32),0)</f>
        <v>0</v>
      </c>
      <c r="E694" s="11" t="n">
        <f aca="false">D694*Calculator!$B$7</f>
        <v>0</v>
      </c>
      <c r="F694" s="11" t="n">
        <f aca="false">D694*Calculator!$B$8</f>
        <v>0</v>
      </c>
      <c r="G694" s="11" t="n">
        <f aca="false">IF(B694&gt;0,'Tax Tables'!$B$32*MIN(MAX(B694/'Tax Tables'!$B$32*'Tax Tables'!$B$33,'Tax Tables'!$B$34),'Tax Tables'!$B$35),0)</f>
        <v>0</v>
      </c>
      <c r="H694" s="11" t="n">
        <f aca="false">Calculator!$B$5-A694-F694-G694</f>
        <v>59500</v>
      </c>
      <c r="I694" s="11" t="n">
        <f aca="false">'Tax Tables'!$B$22*(MAX(H694,0)-IF(Calculator!$B$10="Yes",MIN(MAX(H694,0),'Tax Tables'!$B$27)*'Tax Tables'!$B$28+MIN(MAX(MAX(H694,0)-'Tax Tables'!$B$27,0),'Tax Tables'!$B$29)*'Tax Tables'!$B$30,MIN(MAX(H694,0),'Tax Tables'!$B$23)*'Tax Tables'!$B$24+MIN(MAX(MAX(H694,0)-'Tax Tables'!$B$23,0),'Tax Tables'!$B$25)*'Tax Tables'!$B$26))*1-MIN('Tax Tables'!$B$22*(MAX(H694,0)-IF(Calculator!$B$10="Yes",MIN(MAX(H694,0),'Tax Tables'!$B$27)*'Tax Tables'!$B$28+MIN(MAX(MAX(H694,0)-'Tax Tables'!$B$27,0),'Tax Tables'!$B$29)*'Tax Tables'!$B$30,MIN(MAX(H694,0),'Tax Tables'!$B$23)*'Tax Tables'!$B$24+MIN(MAX(MAX(H694,0)-'Tax Tables'!$B$23,0),'Tax Tables'!$B$25)*'Tax Tables'!$B$26))*Calculator!$B$11,Calculator!$B$12)</f>
        <v>4632.5</v>
      </c>
      <c r="J694" s="11" t="n">
        <f aca="false">MAX(H694,0)-I694</f>
        <v>54867.5</v>
      </c>
      <c r="K694" s="11" t="n">
        <f aca="false">MIN(IF(A694&gt;0,Calculator!$B$13,0)+E694+Calculator!$B$14,'Tax Tables'!$B$36)</f>
        <v>1000</v>
      </c>
      <c r="L694" s="11" t="n">
        <f aca="false">MAX(A694-K694,0)</f>
        <v>339500</v>
      </c>
      <c r="M694" s="11" t="n">
        <f aca="false">SUMPRODUCT((L694&gt;'Tax Tables'!$A$5:$A$17)*(L694-'Tax Tables'!$A$5:$A$17)*'Tax Tables'!$C$5:$C$17)</f>
        <v>48840</v>
      </c>
      <c r="N694" s="11" t="n">
        <f aca="false">IF(H694&lt;0,-1E+099,A694-E694-M694+J694+(E694+F694)*Calculator!$B$9)</f>
        <v>346527.5</v>
      </c>
      <c r="O694" s="2"/>
      <c r="P694" s="11" t="n">
        <f aca="false">681*$B$3</f>
        <v>340500</v>
      </c>
      <c r="Q694" s="11" t="n">
        <f aca="false">MIN(P694,'Tax Tables'!$B$31*'Tax Tables'!$B$32)</f>
        <v>96000</v>
      </c>
      <c r="R694" s="11" t="n">
        <f aca="false">P694-Q694</f>
        <v>244500</v>
      </c>
      <c r="S694" s="11" t="n">
        <f aca="false">IF(Calculator!$B$6="Yes",MIN(Q694,'Tax Tables'!$B$31*'Tax Tables'!$B$32),0)</f>
        <v>96000</v>
      </c>
      <c r="T694" s="11" t="n">
        <f aca="false">S694*Calculator!$B$7</f>
        <v>19200</v>
      </c>
      <c r="U694" s="11" t="n">
        <f aca="false">S694*Calculator!$B$8</f>
        <v>16320</v>
      </c>
      <c r="V694" s="11" t="n">
        <f aca="false">IF(Q694&gt;0,'Tax Tables'!$B$32*MIN(MAX(Q694/'Tax Tables'!$B$32*'Tax Tables'!$B$33,'Tax Tables'!$B$34),'Tax Tables'!$B$35),0)</f>
        <v>135</v>
      </c>
      <c r="W694" s="11" t="n">
        <f aca="false">Calculator!$B$5-P694-U694-V694</f>
        <v>43045</v>
      </c>
      <c r="X694" s="11" t="n">
        <f aca="false">'Tax Tables'!$B$22*(MAX(W694,0)-IF(Calculator!$B$10="Yes",MIN(MAX(W694,0),'Tax Tables'!$B$27)*'Tax Tables'!$B$28+MIN(MAX(MAX(W694,0)-'Tax Tables'!$B$27,0),'Tax Tables'!$B$29)*'Tax Tables'!$B$30,MIN(MAX(W694,0),'Tax Tables'!$B$23)*'Tax Tables'!$B$24+MIN(MAX(MAX(W694,0)-'Tax Tables'!$B$23,0),'Tax Tables'!$B$25)*'Tax Tables'!$B$26))*1-MIN('Tax Tables'!$B$22*(MAX(W694,0)-IF(Calculator!$B$10="Yes",MIN(MAX(W694,0),'Tax Tables'!$B$27)*'Tax Tables'!$B$28+MIN(MAX(MAX(W694,0)-'Tax Tables'!$B$27,0),'Tax Tables'!$B$29)*'Tax Tables'!$B$30,MIN(MAX(W694,0),'Tax Tables'!$B$23)*'Tax Tables'!$B$24+MIN(MAX(MAX(W694,0)-'Tax Tables'!$B$23,0),'Tax Tables'!$B$25)*'Tax Tables'!$B$26))*Calculator!$B$11,Calculator!$B$12)</f>
        <v>3233.825</v>
      </c>
      <c r="Y694" s="11" t="n">
        <f aca="false">MAX(W694,0)-X694</f>
        <v>39811.175</v>
      </c>
      <c r="Z694" s="11" t="n">
        <f aca="false">MIN(IF(P694&gt;0,Calculator!$B$13,0)+T694+Calculator!$B$14,'Tax Tables'!$B$36)</f>
        <v>20200</v>
      </c>
      <c r="AA694" s="11" t="n">
        <f aca="false">MAX(P694-Z694,0)</f>
        <v>320300</v>
      </c>
      <c r="AB694" s="11" t="n">
        <f aca="false">SUMPRODUCT((AA694&gt;'Tax Tables'!$A$5:$A$17)*(AA694-'Tax Tables'!$A$5:$A$17)*'Tax Tables'!$C$5:$C$17)</f>
        <v>44616</v>
      </c>
      <c r="AC694" s="11" t="n">
        <f aca="false">IF(W694&lt;0,-1E+099,P694-T694-AB694+Y694+(T694+U694)*Calculator!$B$9)</f>
        <v>352015.175</v>
      </c>
    </row>
    <row r="695" customFormat="false" ht="15" hidden="false" customHeight="false" outlineLevel="0" collapsed="false">
      <c r="A695" s="11" t="n">
        <f aca="false">682*$B$3</f>
        <v>341000</v>
      </c>
      <c r="B695" s="11" t="n">
        <f aca="false">0</f>
        <v>0</v>
      </c>
      <c r="C695" s="11" t="n">
        <f aca="false">A695-B695</f>
        <v>341000</v>
      </c>
      <c r="D695" s="11" t="n">
        <f aca="false">IF(Calculator!$B$6="Yes",MIN(B695,'Tax Tables'!$B$31*'Tax Tables'!$B$32),0)</f>
        <v>0</v>
      </c>
      <c r="E695" s="11" t="n">
        <f aca="false">D695*Calculator!$B$7</f>
        <v>0</v>
      </c>
      <c r="F695" s="11" t="n">
        <f aca="false">D695*Calculator!$B$8</f>
        <v>0</v>
      </c>
      <c r="G695" s="11" t="n">
        <f aca="false">IF(B695&gt;0,'Tax Tables'!$B$32*MIN(MAX(B695/'Tax Tables'!$B$32*'Tax Tables'!$B$33,'Tax Tables'!$B$34),'Tax Tables'!$B$35),0)</f>
        <v>0</v>
      </c>
      <c r="H695" s="11" t="n">
        <f aca="false">Calculator!$B$5-A695-F695-G695</f>
        <v>59000</v>
      </c>
      <c r="I695" s="11" t="n">
        <f aca="false">'Tax Tables'!$B$22*(MAX(H695,0)-IF(Calculator!$B$10="Yes",MIN(MAX(H695,0),'Tax Tables'!$B$27)*'Tax Tables'!$B$28+MIN(MAX(MAX(H695,0)-'Tax Tables'!$B$27,0),'Tax Tables'!$B$29)*'Tax Tables'!$B$30,MIN(MAX(H695,0),'Tax Tables'!$B$23)*'Tax Tables'!$B$24+MIN(MAX(MAX(H695,0)-'Tax Tables'!$B$23,0),'Tax Tables'!$B$25)*'Tax Tables'!$B$26))*1-MIN('Tax Tables'!$B$22*(MAX(H695,0)-IF(Calculator!$B$10="Yes",MIN(MAX(H695,0),'Tax Tables'!$B$27)*'Tax Tables'!$B$28+MIN(MAX(MAX(H695,0)-'Tax Tables'!$B$27,0),'Tax Tables'!$B$29)*'Tax Tables'!$B$30,MIN(MAX(H695,0),'Tax Tables'!$B$23)*'Tax Tables'!$B$24+MIN(MAX(MAX(H695,0)-'Tax Tables'!$B$23,0),'Tax Tables'!$B$25)*'Tax Tables'!$B$26))*Calculator!$B$11,Calculator!$B$12)</f>
        <v>4590</v>
      </c>
      <c r="J695" s="11" t="n">
        <f aca="false">MAX(H695,0)-I695</f>
        <v>54410</v>
      </c>
      <c r="K695" s="11" t="n">
        <f aca="false">MIN(IF(A695&gt;0,Calculator!$B$13,0)+E695+Calculator!$B$14,'Tax Tables'!$B$36)</f>
        <v>1000</v>
      </c>
      <c r="L695" s="11" t="n">
        <f aca="false">MAX(A695-K695,0)</f>
        <v>340000</v>
      </c>
      <c r="M695" s="11" t="n">
        <f aca="false">SUMPRODUCT((L695&gt;'Tax Tables'!$A$5:$A$17)*(L695-'Tax Tables'!$A$5:$A$17)*'Tax Tables'!$C$5:$C$17)</f>
        <v>48950</v>
      </c>
      <c r="N695" s="11" t="n">
        <f aca="false">IF(H695&lt;0,-1E+099,A695-E695-M695+J695+(E695+F695)*Calculator!$B$9)</f>
        <v>346460</v>
      </c>
      <c r="O695" s="2"/>
      <c r="P695" s="11" t="n">
        <f aca="false">682*$B$3</f>
        <v>341000</v>
      </c>
      <c r="Q695" s="11" t="n">
        <f aca="false">MIN(P695,'Tax Tables'!$B$31*'Tax Tables'!$B$32)</f>
        <v>96000</v>
      </c>
      <c r="R695" s="11" t="n">
        <f aca="false">P695-Q695</f>
        <v>245000</v>
      </c>
      <c r="S695" s="11" t="n">
        <f aca="false">IF(Calculator!$B$6="Yes",MIN(Q695,'Tax Tables'!$B$31*'Tax Tables'!$B$32),0)</f>
        <v>96000</v>
      </c>
      <c r="T695" s="11" t="n">
        <f aca="false">S695*Calculator!$B$7</f>
        <v>19200</v>
      </c>
      <c r="U695" s="11" t="n">
        <f aca="false">S695*Calculator!$B$8</f>
        <v>16320</v>
      </c>
      <c r="V695" s="11" t="n">
        <f aca="false">IF(Q695&gt;0,'Tax Tables'!$B$32*MIN(MAX(Q695/'Tax Tables'!$B$32*'Tax Tables'!$B$33,'Tax Tables'!$B$34),'Tax Tables'!$B$35),0)</f>
        <v>135</v>
      </c>
      <c r="W695" s="11" t="n">
        <f aca="false">Calculator!$B$5-P695-U695-V695</f>
        <v>42545</v>
      </c>
      <c r="X695" s="11" t="n">
        <f aca="false">'Tax Tables'!$B$22*(MAX(W695,0)-IF(Calculator!$B$10="Yes",MIN(MAX(W695,0),'Tax Tables'!$B$27)*'Tax Tables'!$B$28+MIN(MAX(MAX(W695,0)-'Tax Tables'!$B$27,0),'Tax Tables'!$B$29)*'Tax Tables'!$B$30,MIN(MAX(W695,0),'Tax Tables'!$B$23)*'Tax Tables'!$B$24+MIN(MAX(MAX(W695,0)-'Tax Tables'!$B$23,0),'Tax Tables'!$B$25)*'Tax Tables'!$B$26))*1-MIN('Tax Tables'!$B$22*(MAX(W695,0)-IF(Calculator!$B$10="Yes",MIN(MAX(W695,0),'Tax Tables'!$B$27)*'Tax Tables'!$B$28+MIN(MAX(MAX(W695,0)-'Tax Tables'!$B$27,0),'Tax Tables'!$B$29)*'Tax Tables'!$B$30,MIN(MAX(W695,0),'Tax Tables'!$B$23)*'Tax Tables'!$B$24+MIN(MAX(MAX(W695,0)-'Tax Tables'!$B$23,0),'Tax Tables'!$B$25)*'Tax Tables'!$B$26))*Calculator!$B$11,Calculator!$B$12)</f>
        <v>3191.325</v>
      </c>
      <c r="Y695" s="11" t="n">
        <f aca="false">MAX(W695,0)-X695</f>
        <v>39353.675</v>
      </c>
      <c r="Z695" s="11" t="n">
        <f aca="false">MIN(IF(P695&gt;0,Calculator!$B$13,0)+T695+Calculator!$B$14,'Tax Tables'!$B$36)</f>
        <v>20200</v>
      </c>
      <c r="AA695" s="11" t="n">
        <f aca="false">MAX(P695-Z695,0)</f>
        <v>320800</v>
      </c>
      <c r="AB695" s="11" t="n">
        <f aca="false">SUMPRODUCT((AA695&gt;'Tax Tables'!$A$5:$A$17)*(AA695-'Tax Tables'!$A$5:$A$17)*'Tax Tables'!$C$5:$C$17)</f>
        <v>44726</v>
      </c>
      <c r="AC695" s="11" t="n">
        <f aca="false">IF(W695&lt;0,-1E+099,P695-T695-AB695+Y695+(T695+U695)*Calculator!$B$9)</f>
        <v>351947.675</v>
      </c>
    </row>
    <row r="696" customFormat="false" ht="15" hidden="false" customHeight="false" outlineLevel="0" collapsed="false">
      <c r="A696" s="11" t="n">
        <f aca="false">683*$B$3</f>
        <v>341500</v>
      </c>
      <c r="B696" s="11" t="n">
        <f aca="false">0</f>
        <v>0</v>
      </c>
      <c r="C696" s="11" t="n">
        <f aca="false">A696-B696</f>
        <v>341500</v>
      </c>
      <c r="D696" s="11" t="n">
        <f aca="false">IF(Calculator!$B$6="Yes",MIN(B696,'Tax Tables'!$B$31*'Tax Tables'!$B$32),0)</f>
        <v>0</v>
      </c>
      <c r="E696" s="11" t="n">
        <f aca="false">D696*Calculator!$B$7</f>
        <v>0</v>
      </c>
      <c r="F696" s="11" t="n">
        <f aca="false">D696*Calculator!$B$8</f>
        <v>0</v>
      </c>
      <c r="G696" s="11" t="n">
        <f aca="false">IF(B696&gt;0,'Tax Tables'!$B$32*MIN(MAX(B696/'Tax Tables'!$B$32*'Tax Tables'!$B$33,'Tax Tables'!$B$34),'Tax Tables'!$B$35),0)</f>
        <v>0</v>
      </c>
      <c r="H696" s="11" t="n">
        <f aca="false">Calculator!$B$5-A696-F696-G696</f>
        <v>58500</v>
      </c>
      <c r="I696" s="11" t="n">
        <f aca="false">'Tax Tables'!$B$22*(MAX(H696,0)-IF(Calculator!$B$10="Yes",MIN(MAX(H696,0),'Tax Tables'!$B$27)*'Tax Tables'!$B$28+MIN(MAX(MAX(H696,0)-'Tax Tables'!$B$27,0),'Tax Tables'!$B$29)*'Tax Tables'!$B$30,MIN(MAX(H696,0),'Tax Tables'!$B$23)*'Tax Tables'!$B$24+MIN(MAX(MAX(H696,0)-'Tax Tables'!$B$23,0),'Tax Tables'!$B$25)*'Tax Tables'!$B$26))*1-MIN('Tax Tables'!$B$22*(MAX(H696,0)-IF(Calculator!$B$10="Yes",MIN(MAX(H696,0),'Tax Tables'!$B$27)*'Tax Tables'!$B$28+MIN(MAX(MAX(H696,0)-'Tax Tables'!$B$27,0),'Tax Tables'!$B$29)*'Tax Tables'!$B$30,MIN(MAX(H696,0),'Tax Tables'!$B$23)*'Tax Tables'!$B$24+MIN(MAX(MAX(H696,0)-'Tax Tables'!$B$23,0),'Tax Tables'!$B$25)*'Tax Tables'!$B$26))*Calculator!$B$11,Calculator!$B$12)</f>
        <v>4547.5</v>
      </c>
      <c r="J696" s="11" t="n">
        <f aca="false">MAX(H696,0)-I696</f>
        <v>53952.5</v>
      </c>
      <c r="K696" s="11" t="n">
        <f aca="false">MIN(IF(A696&gt;0,Calculator!$B$13,0)+E696+Calculator!$B$14,'Tax Tables'!$B$36)</f>
        <v>1000</v>
      </c>
      <c r="L696" s="11" t="n">
        <f aca="false">MAX(A696-K696,0)</f>
        <v>340500</v>
      </c>
      <c r="M696" s="11" t="n">
        <f aca="false">SUMPRODUCT((L696&gt;'Tax Tables'!$A$5:$A$17)*(L696-'Tax Tables'!$A$5:$A$17)*'Tax Tables'!$C$5:$C$17)</f>
        <v>49060</v>
      </c>
      <c r="N696" s="11" t="n">
        <f aca="false">IF(H696&lt;0,-1E+099,A696-E696-M696+J696+(E696+F696)*Calculator!$B$9)</f>
        <v>346392.5</v>
      </c>
      <c r="O696" s="2"/>
      <c r="P696" s="11" t="n">
        <f aca="false">683*$B$3</f>
        <v>341500</v>
      </c>
      <c r="Q696" s="11" t="n">
        <f aca="false">MIN(P696,'Tax Tables'!$B$31*'Tax Tables'!$B$32)</f>
        <v>96000</v>
      </c>
      <c r="R696" s="11" t="n">
        <f aca="false">P696-Q696</f>
        <v>245500</v>
      </c>
      <c r="S696" s="11" t="n">
        <f aca="false">IF(Calculator!$B$6="Yes",MIN(Q696,'Tax Tables'!$B$31*'Tax Tables'!$B$32),0)</f>
        <v>96000</v>
      </c>
      <c r="T696" s="11" t="n">
        <f aca="false">S696*Calculator!$B$7</f>
        <v>19200</v>
      </c>
      <c r="U696" s="11" t="n">
        <f aca="false">S696*Calculator!$B$8</f>
        <v>16320</v>
      </c>
      <c r="V696" s="11" t="n">
        <f aca="false">IF(Q696&gt;0,'Tax Tables'!$B$32*MIN(MAX(Q696/'Tax Tables'!$B$32*'Tax Tables'!$B$33,'Tax Tables'!$B$34),'Tax Tables'!$B$35),0)</f>
        <v>135</v>
      </c>
      <c r="W696" s="11" t="n">
        <f aca="false">Calculator!$B$5-P696-U696-V696</f>
        <v>42045</v>
      </c>
      <c r="X696" s="11" t="n">
        <f aca="false">'Tax Tables'!$B$22*(MAX(W696,0)-IF(Calculator!$B$10="Yes",MIN(MAX(W696,0),'Tax Tables'!$B$27)*'Tax Tables'!$B$28+MIN(MAX(MAX(W696,0)-'Tax Tables'!$B$27,0),'Tax Tables'!$B$29)*'Tax Tables'!$B$30,MIN(MAX(W696,0),'Tax Tables'!$B$23)*'Tax Tables'!$B$24+MIN(MAX(MAX(W696,0)-'Tax Tables'!$B$23,0),'Tax Tables'!$B$25)*'Tax Tables'!$B$26))*1-MIN('Tax Tables'!$B$22*(MAX(W696,0)-IF(Calculator!$B$10="Yes",MIN(MAX(W696,0),'Tax Tables'!$B$27)*'Tax Tables'!$B$28+MIN(MAX(MAX(W696,0)-'Tax Tables'!$B$27,0),'Tax Tables'!$B$29)*'Tax Tables'!$B$30,MIN(MAX(W696,0),'Tax Tables'!$B$23)*'Tax Tables'!$B$24+MIN(MAX(MAX(W696,0)-'Tax Tables'!$B$23,0),'Tax Tables'!$B$25)*'Tax Tables'!$B$26))*Calculator!$B$11,Calculator!$B$12)</f>
        <v>3148.825</v>
      </c>
      <c r="Y696" s="11" t="n">
        <f aca="false">MAX(W696,0)-X696</f>
        <v>38896.175</v>
      </c>
      <c r="Z696" s="11" t="n">
        <f aca="false">MIN(IF(P696&gt;0,Calculator!$B$13,0)+T696+Calculator!$B$14,'Tax Tables'!$B$36)</f>
        <v>20200</v>
      </c>
      <c r="AA696" s="11" t="n">
        <f aca="false">MAX(P696-Z696,0)</f>
        <v>321300</v>
      </c>
      <c r="AB696" s="11" t="n">
        <f aca="false">SUMPRODUCT((AA696&gt;'Tax Tables'!$A$5:$A$17)*(AA696-'Tax Tables'!$A$5:$A$17)*'Tax Tables'!$C$5:$C$17)</f>
        <v>44836</v>
      </c>
      <c r="AC696" s="11" t="n">
        <f aca="false">IF(W696&lt;0,-1E+099,P696-T696-AB696+Y696+(T696+U696)*Calculator!$B$9)</f>
        <v>351880.175</v>
      </c>
    </row>
    <row r="697" customFormat="false" ht="15" hidden="false" customHeight="false" outlineLevel="0" collapsed="false">
      <c r="A697" s="11" t="n">
        <f aca="false">684*$B$3</f>
        <v>342000</v>
      </c>
      <c r="B697" s="11" t="n">
        <f aca="false">0</f>
        <v>0</v>
      </c>
      <c r="C697" s="11" t="n">
        <f aca="false">A697-B697</f>
        <v>342000</v>
      </c>
      <c r="D697" s="11" t="n">
        <f aca="false">IF(Calculator!$B$6="Yes",MIN(B697,'Tax Tables'!$B$31*'Tax Tables'!$B$32),0)</f>
        <v>0</v>
      </c>
      <c r="E697" s="11" t="n">
        <f aca="false">D697*Calculator!$B$7</f>
        <v>0</v>
      </c>
      <c r="F697" s="11" t="n">
        <f aca="false">D697*Calculator!$B$8</f>
        <v>0</v>
      </c>
      <c r="G697" s="11" t="n">
        <f aca="false">IF(B697&gt;0,'Tax Tables'!$B$32*MIN(MAX(B697/'Tax Tables'!$B$32*'Tax Tables'!$B$33,'Tax Tables'!$B$34),'Tax Tables'!$B$35),0)</f>
        <v>0</v>
      </c>
      <c r="H697" s="11" t="n">
        <f aca="false">Calculator!$B$5-A697-F697-G697</f>
        <v>58000</v>
      </c>
      <c r="I697" s="11" t="n">
        <f aca="false">'Tax Tables'!$B$22*(MAX(H697,0)-IF(Calculator!$B$10="Yes",MIN(MAX(H697,0),'Tax Tables'!$B$27)*'Tax Tables'!$B$28+MIN(MAX(MAX(H697,0)-'Tax Tables'!$B$27,0),'Tax Tables'!$B$29)*'Tax Tables'!$B$30,MIN(MAX(H697,0),'Tax Tables'!$B$23)*'Tax Tables'!$B$24+MIN(MAX(MAX(H697,0)-'Tax Tables'!$B$23,0),'Tax Tables'!$B$25)*'Tax Tables'!$B$26))*1-MIN('Tax Tables'!$B$22*(MAX(H697,0)-IF(Calculator!$B$10="Yes",MIN(MAX(H697,0),'Tax Tables'!$B$27)*'Tax Tables'!$B$28+MIN(MAX(MAX(H697,0)-'Tax Tables'!$B$27,0),'Tax Tables'!$B$29)*'Tax Tables'!$B$30,MIN(MAX(H697,0),'Tax Tables'!$B$23)*'Tax Tables'!$B$24+MIN(MAX(MAX(H697,0)-'Tax Tables'!$B$23,0),'Tax Tables'!$B$25)*'Tax Tables'!$B$26))*Calculator!$B$11,Calculator!$B$12)</f>
        <v>4505</v>
      </c>
      <c r="J697" s="11" t="n">
        <f aca="false">MAX(H697,0)-I697</f>
        <v>53495</v>
      </c>
      <c r="K697" s="11" t="n">
        <f aca="false">MIN(IF(A697&gt;0,Calculator!$B$13,0)+E697+Calculator!$B$14,'Tax Tables'!$B$36)</f>
        <v>1000</v>
      </c>
      <c r="L697" s="11" t="n">
        <f aca="false">MAX(A697-K697,0)</f>
        <v>341000</v>
      </c>
      <c r="M697" s="11" t="n">
        <f aca="false">SUMPRODUCT((L697&gt;'Tax Tables'!$A$5:$A$17)*(L697-'Tax Tables'!$A$5:$A$17)*'Tax Tables'!$C$5:$C$17)</f>
        <v>49170</v>
      </c>
      <c r="N697" s="11" t="n">
        <f aca="false">IF(H697&lt;0,-1E+099,A697-E697-M697+J697+(E697+F697)*Calculator!$B$9)</f>
        <v>346325</v>
      </c>
      <c r="O697" s="2"/>
      <c r="P697" s="11" t="n">
        <f aca="false">684*$B$3</f>
        <v>342000</v>
      </c>
      <c r="Q697" s="11" t="n">
        <f aca="false">MIN(P697,'Tax Tables'!$B$31*'Tax Tables'!$B$32)</f>
        <v>96000</v>
      </c>
      <c r="R697" s="11" t="n">
        <f aca="false">P697-Q697</f>
        <v>246000</v>
      </c>
      <c r="S697" s="11" t="n">
        <f aca="false">IF(Calculator!$B$6="Yes",MIN(Q697,'Tax Tables'!$B$31*'Tax Tables'!$B$32),0)</f>
        <v>96000</v>
      </c>
      <c r="T697" s="11" t="n">
        <f aca="false">S697*Calculator!$B$7</f>
        <v>19200</v>
      </c>
      <c r="U697" s="11" t="n">
        <f aca="false">S697*Calculator!$B$8</f>
        <v>16320</v>
      </c>
      <c r="V697" s="11" t="n">
        <f aca="false">IF(Q697&gt;0,'Tax Tables'!$B$32*MIN(MAX(Q697/'Tax Tables'!$B$32*'Tax Tables'!$B$33,'Tax Tables'!$B$34),'Tax Tables'!$B$35),0)</f>
        <v>135</v>
      </c>
      <c r="W697" s="11" t="n">
        <f aca="false">Calculator!$B$5-P697-U697-V697</f>
        <v>41545</v>
      </c>
      <c r="X697" s="11" t="n">
        <f aca="false">'Tax Tables'!$B$22*(MAX(W697,0)-IF(Calculator!$B$10="Yes",MIN(MAX(W697,0),'Tax Tables'!$B$27)*'Tax Tables'!$B$28+MIN(MAX(MAX(W697,0)-'Tax Tables'!$B$27,0),'Tax Tables'!$B$29)*'Tax Tables'!$B$30,MIN(MAX(W697,0),'Tax Tables'!$B$23)*'Tax Tables'!$B$24+MIN(MAX(MAX(W697,0)-'Tax Tables'!$B$23,0),'Tax Tables'!$B$25)*'Tax Tables'!$B$26))*1-MIN('Tax Tables'!$B$22*(MAX(W697,0)-IF(Calculator!$B$10="Yes",MIN(MAX(W697,0),'Tax Tables'!$B$27)*'Tax Tables'!$B$28+MIN(MAX(MAX(W697,0)-'Tax Tables'!$B$27,0),'Tax Tables'!$B$29)*'Tax Tables'!$B$30,MIN(MAX(W697,0),'Tax Tables'!$B$23)*'Tax Tables'!$B$24+MIN(MAX(MAX(W697,0)-'Tax Tables'!$B$23,0),'Tax Tables'!$B$25)*'Tax Tables'!$B$26))*Calculator!$B$11,Calculator!$B$12)</f>
        <v>3106.325</v>
      </c>
      <c r="Y697" s="11" t="n">
        <f aca="false">MAX(W697,0)-X697</f>
        <v>38438.675</v>
      </c>
      <c r="Z697" s="11" t="n">
        <f aca="false">MIN(IF(P697&gt;0,Calculator!$B$13,0)+T697+Calculator!$B$14,'Tax Tables'!$B$36)</f>
        <v>20200</v>
      </c>
      <c r="AA697" s="11" t="n">
        <f aca="false">MAX(P697-Z697,0)</f>
        <v>321800</v>
      </c>
      <c r="AB697" s="11" t="n">
        <f aca="false">SUMPRODUCT((AA697&gt;'Tax Tables'!$A$5:$A$17)*(AA697-'Tax Tables'!$A$5:$A$17)*'Tax Tables'!$C$5:$C$17)</f>
        <v>44946</v>
      </c>
      <c r="AC697" s="11" t="n">
        <f aca="false">IF(W697&lt;0,-1E+099,P697-T697-AB697+Y697+(T697+U697)*Calculator!$B$9)</f>
        <v>351812.675</v>
      </c>
    </row>
    <row r="698" customFormat="false" ht="15" hidden="false" customHeight="false" outlineLevel="0" collapsed="false">
      <c r="A698" s="11" t="n">
        <f aca="false">685*$B$3</f>
        <v>342500</v>
      </c>
      <c r="B698" s="11" t="n">
        <f aca="false">0</f>
        <v>0</v>
      </c>
      <c r="C698" s="11" t="n">
        <f aca="false">A698-B698</f>
        <v>342500</v>
      </c>
      <c r="D698" s="11" t="n">
        <f aca="false">IF(Calculator!$B$6="Yes",MIN(B698,'Tax Tables'!$B$31*'Tax Tables'!$B$32),0)</f>
        <v>0</v>
      </c>
      <c r="E698" s="11" t="n">
        <f aca="false">D698*Calculator!$B$7</f>
        <v>0</v>
      </c>
      <c r="F698" s="11" t="n">
        <f aca="false">D698*Calculator!$B$8</f>
        <v>0</v>
      </c>
      <c r="G698" s="11" t="n">
        <f aca="false">IF(B698&gt;0,'Tax Tables'!$B$32*MIN(MAX(B698/'Tax Tables'!$B$32*'Tax Tables'!$B$33,'Tax Tables'!$B$34),'Tax Tables'!$B$35),0)</f>
        <v>0</v>
      </c>
      <c r="H698" s="11" t="n">
        <f aca="false">Calculator!$B$5-A698-F698-G698</f>
        <v>57500</v>
      </c>
      <c r="I698" s="11" t="n">
        <f aca="false">'Tax Tables'!$B$22*(MAX(H698,0)-IF(Calculator!$B$10="Yes",MIN(MAX(H698,0),'Tax Tables'!$B$27)*'Tax Tables'!$B$28+MIN(MAX(MAX(H698,0)-'Tax Tables'!$B$27,0),'Tax Tables'!$B$29)*'Tax Tables'!$B$30,MIN(MAX(H698,0),'Tax Tables'!$B$23)*'Tax Tables'!$B$24+MIN(MAX(MAX(H698,0)-'Tax Tables'!$B$23,0),'Tax Tables'!$B$25)*'Tax Tables'!$B$26))*1-MIN('Tax Tables'!$B$22*(MAX(H698,0)-IF(Calculator!$B$10="Yes",MIN(MAX(H698,0),'Tax Tables'!$B$27)*'Tax Tables'!$B$28+MIN(MAX(MAX(H698,0)-'Tax Tables'!$B$27,0),'Tax Tables'!$B$29)*'Tax Tables'!$B$30,MIN(MAX(H698,0),'Tax Tables'!$B$23)*'Tax Tables'!$B$24+MIN(MAX(MAX(H698,0)-'Tax Tables'!$B$23,0),'Tax Tables'!$B$25)*'Tax Tables'!$B$26))*Calculator!$B$11,Calculator!$B$12)</f>
        <v>4462.5</v>
      </c>
      <c r="J698" s="11" t="n">
        <f aca="false">MAX(H698,0)-I698</f>
        <v>53037.5</v>
      </c>
      <c r="K698" s="11" t="n">
        <f aca="false">MIN(IF(A698&gt;0,Calculator!$B$13,0)+E698+Calculator!$B$14,'Tax Tables'!$B$36)</f>
        <v>1000</v>
      </c>
      <c r="L698" s="11" t="n">
        <f aca="false">MAX(A698-K698,0)</f>
        <v>341500</v>
      </c>
      <c r="M698" s="11" t="n">
        <f aca="false">SUMPRODUCT((L698&gt;'Tax Tables'!$A$5:$A$17)*(L698-'Tax Tables'!$A$5:$A$17)*'Tax Tables'!$C$5:$C$17)</f>
        <v>49280</v>
      </c>
      <c r="N698" s="11" t="n">
        <f aca="false">IF(H698&lt;0,-1E+099,A698-E698-M698+J698+(E698+F698)*Calculator!$B$9)</f>
        <v>346257.5</v>
      </c>
      <c r="O698" s="2"/>
      <c r="P698" s="11" t="n">
        <f aca="false">685*$B$3</f>
        <v>342500</v>
      </c>
      <c r="Q698" s="11" t="n">
        <f aca="false">MIN(P698,'Tax Tables'!$B$31*'Tax Tables'!$B$32)</f>
        <v>96000</v>
      </c>
      <c r="R698" s="11" t="n">
        <f aca="false">P698-Q698</f>
        <v>246500</v>
      </c>
      <c r="S698" s="11" t="n">
        <f aca="false">IF(Calculator!$B$6="Yes",MIN(Q698,'Tax Tables'!$B$31*'Tax Tables'!$B$32),0)</f>
        <v>96000</v>
      </c>
      <c r="T698" s="11" t="n">
        <f aca="false">S698*Calculator!$B$7</f>
        <v>19200</v>
      </c>
      <c r="U698" s="11" t="n">
        <f aca="false">S698*Calculator!$B$8</f>
        <v>16320</v>
      </c>
      <c r="V698" s="11" t="n">
        <f aca="false">IF(Q698&gt;0,'Tax Tables'!$B$32*MIN(MAX(Q698/'Tax Tables'!$B$32*'Tax Tables'!$B$33,'Tax Tables'!$B$34),'Tax Tables'!$B$35),0)</f>
        <v>135</v>
      </c>
      <c r="W698" s="11" t="n">
        <f aca="false">Calculator!$B$5-P698-U698-V698</f>
        <v>41045</v>
      </c>
      <c r="X698" s="11" t="n">
        <f aca="false">'Tax Tables'!$B$22*(MAX(W698,0)-IF(Calculator!$B$10="Yes",MIN(MAX(W698,0),'Tax Tables'!$B$27)*'Tax Tables'!$B$28+MIN(MAX(MAX(W698,0)-'Tax Tables'!$B$27,0),'Tax Tables'!$B$29)*'Tax Tables'!$B$30,MIN(MAX(W698,0),'Tax Tables'!$B$23)*'Tax Tables'!$B$24+MIN(MAX(MAX(W698,0)-'Tax Tables'!$B$23,0),'Tax Tables'!$B$25)*'Tax Tables'!$B$26))*1-MIN('Tax Tables'!$B$22*(MAX(W698,0)-IF(Calculator!$B$10="Yes",MIN(MAX(W698,0),'Tax Tables'!$B$27)*'Tax Tables'!$B$28+MIN(MAX(MAX(W698,0)-'Tax Tables'!$B$27,0),'Tax Tables'!$B$29)*'Tax Tables'!$B$30,MIN(MAX(W698,0),'Tax Tables'!$B$23)*'Tax Tables'!$B$24+MIN(MAX(MAX(W698,0)-'Tax Tables'!$B$23,0),'Tax Tables'!$B$25)*'Tax Tables'!$B$26))*Calculator!$B$11,Calculator!$B$12)</f>
        <v>3063.825</v>
      </c>
      <c r="Y698" s="11" t="n">
        <f aca="false">MAX(W698,0)-X698</f>
        <v>37981.175</v>
      </c>
      <c r="Z698" s="11" t="n">
        <f aca="false">MIN(IF(P698&gt;0,Calculator!$B$13,0)+T698+Calculator!$B$14,'Tax Tables'!$B$36)</f>
        <v>20200</v>
      </c>
      <c r="AA698" s="11" t="n">
        <f aca="false">MAX(P698-Z698,0)</f>
        <v>322300</v>
      </c>
      <c r="AB698" s="11" t="n">
        <f aca="false">SUMPRODUCT((AA698&gt;'Tax Tables'!$A$5:$A$17)*(AA698-'Tax Tables'!$A$5:$A$17)*'Tax Tables'!$C$5:$C$17)</f>
        <v>45056</v>
      </c>
      <c r="AC698" s="11" t="n">
        <f aca="false">IF(W698&lt;0,-1E+099,P698-T698-AB698+Y698+(T698+U698)*Calculator!$B$9)</f>
        <v>351745.175</v>
      </c>
    </row>
    <row r="699" customFormat="false" ht="15" hidden="false" customHeight="false" outlineLevel="0" collapsed="false">
      <c r="A699" s="11" t="n">
        <f aca="false">686*$B$3</f>
        <v>343000</v>
      </c>
      <c r="B699" s="11" t="n">
        <f aca="false">0</f>
        <v>0</v>
      </c>
      <c r="C699" s="11" t="n">
        <f aca="false">A699-B699</f>
        <v>343000</v>
      </c>
      <c r="D699" s="11" t="n">
        <f aca="false">IF(Calculator!$B$6="Yes",MIN(B699,'Tax Tables'!$B$31*'Tax Tables'!$B$32),0)</f>
        <v>0</v>
      </c>
      <c r="E699" s="11" t="n">
        <f aca="false">D699*Calculator!$B$7</f>
        <v>0</v>
      </c>
      <c r="F699" s="11" t="n">
        <f aca="false">D699*Calculator!$B$8</f>
        <v>0</v>
      </c>
      <c r="G699" s="11" t="n">
        <f aca="false">IF(B699&gt;0,'Tax Tables'!$B$32*MIN(MAX(B699/'Tax Tables'!$B$32*'Tax Tables'!$B$33,'Tax Tables'!$B$34),'Tax Tables'!$B$35),0)</f>
        <v>0</v>
      </c>
      <c r="H699" s="11" t="n">
        <f aca="false">Calculator!$B$5-A699-F699-G699</f>
        <v>57000</v>
      </c>
      <c r="I699" s="11" t="n">
        <f aca="false">'Tax Tables'!$B$22*(MAX(H699,0)-IF(Calculator!$B$10="Yes",MIN(MAX(H699,0),'Tax Tables'!$B$27)*'Tax Tables'!$B$28+MIN(MAX(MAX(H699,0)-'Tax Tables'!$B$27,0),'Tax Tables'!$B$29)*'Tax Tables'!$B$30,MIN(MAX(H699,0),'Tax Tables'!$B$23)*'Tax Tables'!$B$24+MIN(MAX(MAX(H699,0)-'Tax Tables'!$B$23,0),'Tax Tables'!$B$25)*'Tax Tables'!$B$26))*1-MIN('Tax Tables'!$B$22*(MAX(H699,0)-IF(Calculator!$B$10="Yes",MIN(MAX(H699,0),'Tax Tables'!$B$27)*'Tax Tables'!$B$28+MIN(MAX(MAX(H699,0)-'Tax Tables'!$B$27,0),'Tax Tables'!$B$29)*'Tax Tables'!$B$30,MIN(MAX(H699,0),'Tax Tables'!$B$23)*'Tax Tables'!$B$24+MIN(MAX(MAX(H699,0)-'Tax Tables'!$B$23,0),'Tax Tables'!$B$25)*'Tax Tables'!$B$26))*Calculator!$B$11,Calculator!$B$12)</f>
        <v>4420</v>
      </c>
      <c r="J699" s="11" t="n">
        <f aca="false">MAX(H699,0)-I699</f>
        <v>52580</v>
      </c>
      <c r="K699" s="11" t="n">
        <f aca="false">MIN(IF(A699&gt;0,Calculator!$B$13,0)+E699+Calculator!$B$14,'Tax Tables'!$B$36)</f>
        <v>1000</v>
      </c>
      <c r="L699" s="11" t="n">
        <f aca="false">MAX(A699-K699,0)</f>
        <v>342000</v>
      </c>
      <c r="M699" s="11" t="n">
        <f aca="false">SUMPRODUCT((L699&gt;'Tax Tables'!$A$5:$A$17)*(L699-'Tax Tables'!$A$5:$A$17)*'Tax Tables'!$C$5:$C$17)</f>
        <v>49390</v>
      </c>
      <c r="N699" s="11" t="n">
        <f aca="false">IF(H699&lt;0,-1E+099,A699-E699-M699+J699+(E699+F699)*Calculator!$B$9)</f>
        <v>346190</v>
      </c>
      <c r="O699" s="2"/>
      <c r="P699" s="11" t="n">
        <f aca="false">686*$B$3</f>
        <v>343000</v>
      </c>
      <c r="Q699" s="11" t="n">
        <f aca="false">MIN(P699,'Tax Tables'!$B$31*'Tax Tables'!$B$32)</f>
        <v>96000</v>
      </c>
      <c r="R699" s="11" t="n">
        <f aca="false">P699-Q699</f>
        <v>247000</v>
      </c>
      <c r="S699" s="11" t="n">
        <f aca="false">IF(Calculator!$B$6="Yes",MIN(Q699,'Tax Tables'!$B$31*'Tax Tables'!$B$32),0)</f>
        <v>96000</v>
      </c>
      <c r="T699" s="11" t="n">
        <f aca="false">S699*Calculator!$B$7</f>
        <v>19200</v>
      </c>
      <c r="U699" s="11" t="n">
        <f aca="false">S699*Calculator!$B$8</f>
        <v>16320</v>
      </c>
      <c r="V699" s="11" t="n">
        <f aca="false">IF(Q699&gt;0,'Tax Tables'!$B$32*MIN(MAX(Q699/'Tax Tables'!$B$32*'Tax Tables'!$B$33,'Tax Tables'!$B$34),'Tax Tables'!$B$35),0)</f>
        <v>135</v>
      </c>
      <c r="W699" s="11" t="n">
        <f aca="false">Calculator!$B$5-P699-U699-V699</f>
        <v>40545</v>
      </c>
      <c r="X699" s="11" t="n">
        <f aca="false">'Tax Tables'!$B$22*(MAX(W699,0)-IF(Calculator!$B$10="Yes",MIN(MAX(W699,0),'Tax Tables'!$B$27)*'Tax Tables'!$B$28+MIN(MAX(MAX(W699,0)-'Tax Tables'!$B$27,0),'Tax Tables'!$B$29)*'Tax Tables'!$B$30,MIN(MAX(W699,0),'Tax Tables'!$B$23)*'Tax Tables'!$B$24+MIN(MAX(MAX(W699,0)-'Tax Tables'!$B$23,0),'Tax Tables'!$B$25)*'Tax Tables'!$B$26))*1-MIN('Tax Tables'!$B$22*(MAX(W699,0)-IF(Calculator!$B$10="Yes",MIN(MAX(W699,0),'Tax Tables'!$B$27)*'Tax Tables'!$B$28+MIN(MAX(MAX(W699,0)-'Tax Tables'!$B$27,0),'Tax Tables'!$B$29)*'Tax Tables'!$B$30,MIN(MAX(W699,0),'Tax Tables'!$B$23)*'Tax Tables'!$B$24+MIN(MAX(MAX(W699,0)-'Tax Tables'!$B$23,0),'Tax Tables'!$B$25)*'Tax Tables'!$B$26))*Calculator!$B$11,Calculator!$B$12)</f>
        <v>3021.325</v>
      </c>
      <c r="Y699" s="11" t="n">
        <f aca="false">MAX(W699,0)-X699</f>
        <v>37523.675</v>
      </c>
      <c r="Z699" s="11" t="n">
        <f aca="false">MIN(IF(P699&gt;0,Calculator!$B$13,0)+T699+Calculator!$B$14,'Tax Tables'!$B$36)</f>
        <v>20200</v>
      </c>
      <c r="AA699" s="11" t="n">
        <f aca="false">MAX(P699-Z699,0)</f>
        <v>322800</v>
      </c>
      <c r="AB699" s="11" t="n">
        <f aca="false">SUMPRODUCT((AA699&gt;'Tax Tables'!$A$5:$A$17)*(AA699-'Tax Tables'!$A$5:$A$17)*'Tax Tables'!$C$5:$C$17)</f>
        <v>45166</v>
      </c>
      <c r="AC699" s="11" t="n">
        <f aca="false">IF(W699&lt;0,-1E+099,P699-T699-AB699+Y699+(T699+U699)*Calculator!$B$9)</f>
        <v>351677.675</v>
      </c>
    </row>
    <row r="700" customFormat="false" ht="15" hidden="false" customHeight="false" outlineLevel="0" collapsed="false">
      <c r="A700" s="11" t="n">
        <f aca="false">687*$B$3</f>
        <v>343500</v>
      </c>
      <c r="B700" s="11" t="n">
        <f aca="false">0</f>
        <v>0</v>
      </c>
      <c r="C700" s="11" t="n">
        <f aca="false">A700-B700</f>
        <v>343500</v>
      </c>
      <c r="D700" s="11" t="n">
        <f aca="false">IF(Calculator!$B$6="Yes",MIN(B700,'Tax Tables'!$B$31*'Tax Tables'!$B$32),0)</f>
        <v>0</v>
      </c>
      <c r="E700" s="11" t="n">
        <f aca="false">D700*Calculator!$B$7</f>
        <v>0</v>
      </c>
      <c r="F700" s="11" t="n">
        <f aca="false">D700*Calculator!$B$8</f>
        <v>0</v>
      </c>
      <c r="G700" s="11" t="n">
        <f aca="false">IF(B700&gt;0,'Tax Tables'!$B$32*MIN(MAX(B700/'Tax Tables'!$B$32*'Tax Tables'!$B$33,'Tax Tables'!$B$34),'Tax Tables'!$B$35),0)</f>
        <v>0</v>
      </c>
      <c r="H700" s="11" t="n">
        <f aca="false">Calculator!$B$5-A700-F700-G700</f>
        <v>56500</v>
      </c>
      <c r="I700" s="11" t="n">
        <f aca="false">'Tax Tables'!$B$22*(MAX(H700,0)-IF(Calculator!$B$10="Yes",MIN(MAX(H700,0),'Tax Tables'!$B$27)*'Tax Tables'!$B$28+MIN(MAX(MAX(H700,0)-'Tax Tables'!$B$27,0),'Tax Tables'!$B$29)*'Tax Tables'!$B$30,MIN(MAX(H700,0),'Tax Tables'!$B$23)*'Tax Tables'!$B$24+MIN(MAX(MAX(H700,0)-'Tax Tables'!$B$23,0),'Tax Tables'!$B$25)*'Tax Tables'!$B$26))*1-MIN('Tax Tables'!$B$22*(MAX(H700,0)-IF(Calculator!$B$10="Yes",MIN(MAX(H700,0),'Tax Tables'!$B$27)*'Tax Tables'!$B$28+MIN(MAX(MAX(H700,0)-'Tax Tables'!$B$27,0),'Tax Tables'!$B$29)*'Tax Tables'!$B$30,MIN(MAX(H700,0),'Tax Tables'!$B$23)*'Tax Tables'!$B$24+MIN(MAX(MAX(H700,0)-'Tax Tables'!$B$23,0),'Tax Tables'!$B$25)*'Tax Tables'!$B$26))*Calculator!$B$11,Calculator!$B$12)</f>
        <v>4377.5</v>
      </c>
      <c r="J700" s="11" t="n">
        <f aca="false">MAX(H700,0)-I700</f>
        <v>52122.5</v>
      </c>
      <c r="K700" s="11" t="n">
        <f aca="false">MIN(IF(A700&gt;0,Calculator!$B$13,0)+E700+Calculator!$B$14,'Tax Tables'!$B$36)</f>
        <v>1000</v>
      </c>
      <c r="L700" s="11" t="n">
        <f aca="false">MAX(A700-K700,0)</f>
        <v>342500</v>
      </c>
      <c r="M700" s="11" t="n">
        <f aca="false">SUMPRODUCT((L700&gt;'Tax Tables'!$A$5:$A$17)*(L700-'Tax Tables'!$A$5:$A$17)*'Tax Tables'!$C$5:$C$17)</f>
        <v>49500</v>
      </c>
      <c r="N700" s="11" t="n">
        <f aca="false">IF(H700&lt;0,-1E+099,A700-E700-M700+J700+(E700+F700)*Calculator!$B$9)</f>
        <v>346122.5</v>
      </c>
      <c r="O700" s="2"/>
      <c r="P700" s="11" t="n">
        <f aca="false">687*$B$3</f>
        <v>343500</v>
      </c>
      <c r="Q700" s="11" t="n">
        <f aca="false">MIN(P700,'Tax Tables'!$B$31*'Tax Tables'!$B$32)</f>
        <v>96000</v>
      </c>
      <c r="R700" s="11" t="n">
        <f aca="false">P700-Q700</f>
        <v>247500</v>
      </c>
      <c r="S700" s="11" t="n">
        <f aca="false">IF(Calculator!$B$6="Yes",MIN(Q700,'Tax Tables'!$B$31*'Tax Tables'!$B$32),0)</f>
        <v>96000</v>
      </c>
      <c r="T700" s="11" t="n">
        <f aca="false">S700*Calculator!$B$7</f>
        <v>19200</v>
      </c>
      <c r="U700" s="11" t="n">
        <f aca="false">S700*Calculator!$B$8</f>
        <v>16320</v>
      </c>
      <c r="V700" s="11" t="n">
        <f aca="false">IF(Q700&gt;0,'Tax Tables'!$B$32*MIN(MAX(Q700/'Tax Tables'!$B$32*'Tax Tables'!$B$33,'Tax Tables'!$B$34),'Tax Tables'!$B$35),0)</f>
        <v>135</v>
      </c>
      <c r="W700" s="11" t="n">
        <f aca="false">Calculator!$B$5-P700-U700-V700</f>
        <v>40045</v>
      </c>
      <c r="X700" s="11" t="n">
        <f aca="false">'Tax Tables'!$B$22*(MAX(W700,0)-IF(Calculator!$B$10="Yes",MIN(MAX(W700,0),'Tax Tables'!$B$27)*'Tax Tables'!$B$28+MIN(MAX(MAX(W700,0)-'Tax Tables'!$B$27,0),'Tax Tables'!$B$29)*'Tax Tables'!$B$30,MIN(MAX(W700,0),'Tax Tables'!$B$23)*'Tax Tables'!$B$24+MIN(MAX(MAX(W700,0)-'Tax Tables'!$B$23,0),'Tax Tables'!$B$25)*'Tax Tables'!$B$26))*1-MIN('Tax Tables'!$B$22*(MAX(W700,0)-IF(Calculator!$B$10="Yes",MIN(MAX(W700,0),'Tax Tables'!$B$27)*'Tax Tables'!$B$28+MIN(MAX(MAX(W700,0)-'Tax Tables'!$B$27,0),'Tax Tables'!$B$29)*'Tax Tables'!$B$30,MIN(MAX(W700,0),'Tax Tables'!$B$23)*'Tax Tables'!$B$24+MIN(MAX(MAX(W700,0)-'Tax Tables'!$B$23,0),'Tax Tables'!$B$25)*'Tax Tables'!$B$26))*Calculator!$B$11,Calculator!$B$12)</f>
        <v>2978.825</v>
      </c>
      <c r="Y700" s="11" t="n">
        <f aca="false">MAX(W700,0)-X700</f>
        <v>37066.175</v>
      </c>
      <c r="Z700" s="11" t="n">
        <f aca="false">MIN(IF(P700&gt;0,Calculator!$B$13,0)+T700+Calculator!$B$14,'Tax Tables'!$B$36)</f>
        <v>20200</v>
      </c>
      <c r="AA700" s="11" t="n">
        <f aca="false">MAX(P700-Z700,0)</f>
        <v>323300</v>
      </c>
      <c r="AB700" s="11" t="n">
        <f aca="false">SUMPRODUCT((AA700&gt;'Tax Tables'!$A$5:$A$17)*(AA700-'Tax Tables'!$A$5:$A$17)*'Tax Tables'!$C$5:$C$17)</f>
        <v>45276</v>
      </c>
      <c r="AC700" s="11" t="n">
        <f aca="false">IF(W700&lt;0,-1E+099,P700-T700-AB700+Y700+(T700+U700)*Calculator!$B$9)</f>
        <v>351610.175</v>
      </c>
    </row>
    <row r="701" customFormat="false" ht="15" hidden="false" customHeight="false" outlineLevel="0" collapsed="false">
      <c r="A701" s="11" t="n">
        <f aca="false">688*$B$3</f>
        <v>344000</v>
      </c>
      <c r="B701" s="11" t="n">
        <f aca="false">0</f>
        <v>0</v>
      </c>
      <c r="C701" s="11" t="n">
        <f aca="false">A701-B701</f>
        <v>344000</v>
      </c>
      <c r="D701" s="11" t="n">
        <f aca="false">IF(Calculator!$B$6="Yes",MIN(B701,'Tax Tables'!$B$31*'Tax Tables'!$B$32),0)</f>
        <v>0</v>
      </c>
      <c r="E701" s="11" t="n">
        <f aca="false">D701*Calculator!$B$7</f>
        <v>0</v>
      </c>
      <c r="F701" s="11" t="n">
        <f aca="false">D701*Calculator!$B$8</f>
        <v>0</v>
      </c>
      <c r="G701" s="11" t="n">
        <f aca="false">IF(B701&gt;0,'Tax Tables'!$B$32*MIN(MAX(B701/'Tax Tables'!$B$32*'Tax Tables'!$B$33,'Tax Tables'!$B$34),'Tax Tables'!$B$35),0)</f>
        <v>0</v>
      </c>
      <c r="H701" s="11" t="n">
        <f aca="false">Calculator!$B$5-A701-F701-G701</f>
        <v>56000</v>
      </c>
      <c r="I701" s="11" t="n">
        <f aca="false">'Tax Tables'!$B$22*(MAX(H701,0)-IF(Calculator!$B$10="Yes",MIN(MAX(H701,0),'Tax Tables'!$B$27)*'Tax Tables'!$B$28+MIN(MAX(MAX(H701,0)-'Tax Tables'!$B$27,0),'Tax Tables'!$B$29)*'Tax Tables'!$B$30,MIN(MAX(H701,0),'Tax Tables'!$B$23)*'Tax Tables'!$B$24+MIN(MAX(MAX(H701,0)-'Tax Tables'!$B$23,0),'Tax Tables'!$B$25)*'Tax Tables'!$B$26))*1-MIN('Tax Tables'!$B$22*(MAX(H701,0)-IF(Calculator!$B$10="Yes",MIN(MAX(H701,0),'Tax Tables'!$B$27)*'Tax Tables'!$B$28+MIN(MAX(MAX(H701,0)-'Tax Tables'!$B$27,0),'Tax Tables'!$B$29)*'Tax Tables'!$B$30,MIN(MAX(H701,0),'Tax Tables'!$B$23)*'Tax Tables'!$B$24+MIN(MAX(MAX(H701,0)-'Tax Tables'!$B$23,0),'Tax Tables'!$B$25)*'Tax Tables'!$B$26))*Calculator!$B$11,Calculator!$B$12)</f>
        <v>4335</v>
      </c>
      <c r="J701" s="11" t="n">
        <f aca="false">MAX(H701,0)-I701</f>
        <v>51665</v>
      </c>
      <c r="K701" s="11" t="n">
        <f aca="false">MIN(IF(A701&gt;0,Calculator!$B$13,0)+E701+Calculator!$B$14,'Tax Tables'!$B$36)</f>
        <v>1000</v>
      </c>
      <c r="L701" s="11" t="n">
        <f aca="false">MAX(A701-K701,0)</f>
        <v>343000</v>
      </c>
      <c r="M701" s="11" t="n">
        <f aca="false">SUMPRODUCT((L701&gt;'Tax Tables'!$A$5:$A$17)*(L701-'Tax Tables'!$A$5:$A$17)*'Tax Tables'!$C$5:$C$17)</f>
        <v>49610</v>
      </c>
      <c r="N701" s="11" t="n">
        <f aca="false">IF(H701&lt;0,-1E+099,A701-E701-M701+J701+(E701+F701)*Calculator!$B$9)</f>
        <v>346055</v>
      </c>
      <c r="O701" s="2"/>
      <c r="P701" s="11" t="n">
        <f aca="false">688*$B$3</f>
        <v>344000</v>
      </c>
      <c r="Q701" s="11" t="n">
        <f aca="false">MIN(P701,'Tax Tables'!$B$31*'Tax Tables'!$B$32)</f>
        <v>96000</v>
      </c>
      <c r="R701" s="11" t="n">
        <f aca="false">P701-Q701</f>
        <v>248000</v>
      </c>
      <c r="S701" s="11" t="n">
        <f aca="false">IF(Calculator!$B$6="Yes",MIN(Q701,'Tax Tables'!$B$31*'Tax Tables'!$B$32),0)</f>
        <v>96000</v>
      </c>
      <c r="T701" s="11" t="n">
        <f aca="false">S701*Calculator!$B$7</f>
        <v>19200</v>
      </c>
      <c r="U701" s="11" t="n">
        <f aca="false">S701*Calculator!$B$8</f>
        <v>16320</v>
      </c>
      <c r="V701" s="11" t="n">
        <f aca="false">IF(Q701&gt;0,'Tax Tables'!$B$32*MIN(MAX(Q701/'Tax Tables'!$B$32*'Tax Tables'!$B$33,'Tax Tables'!$B$34),'Tax Tables'!$B$35),0)</f>
        <v>135</v>
      </c>
      <c r="W701" s="11" t="n">
        <f aca="false">Calculator!$B$5-P701-U701-V701</f>
        <v>39545</v>
      </c>
      <c r="X701" s="11" t="n">
        <f aca="false">'Tax Tables'!$B$22*(MAX(W701,0)-IF(Calculator!$B$10="Yes",MIN(MAX(W701,0),'Tax Tables'!$B$27)*'Tax Tables'!$B$28+MIN(MAX(MAX(W701,0)-'Tax Tables'!$B$27,0),'Tax Tables'!$B$29)*'Tax Tables'!$B$30,MIN(MAX(W701,0),'Tax Tables'!$B$23)*'Tax Tables'!$B$24+MIN(MAX(MAX(W701,0)-'Tax Tables'!$B$23,0),'Tax Tables'!$B$25)*'Tax Tables'!$B$26))*1-MIN('Tax Tables'!$B$22*(MAX(W701,0)-IF(Calculator!$B$10="Yes",MIN(MAX(W701,0),'Tax Tables'!$B$27)*'Tax Tables'!$B$28+MIN(MAX(MAX(W701,0)-'Tax Tables'!$B$27,0),'Tax Tables'!$B$29)*'Tax Tables'!$B$30,MIN(MAX(W701,0),'Tax Tables'!$B$23)*'Tax Tables'!$B$24+MIN(MAX(MAX(W701,0)-'Tax Tables'!$B$23,0),'Tax Tables'!$B$25)*'Tax Tables'!$B$26))*Calculator!$B$11,Calculator!$B$12)</f>
        <v>2936.325</v>
      </c>
      <c r="Y701" s="11" t="n">
        <f aca="false">MAX(W701,0)-X701</f>
        <v>36608.675</v>
      </c>
      <c r="Z701" s="11" t="n">
        <f aca="false">MIN(IF(P701&gt;0,Calculator!$B$13,0)+T701+Calculator!$B$14,'Tax Tables'!$B$36)</f>
        <v>20200</v>
      </c>
      <c r="AA701" s="11" t="n">
        <f aca="false">MAX(P701-Z701,0)</f>
        <v>323800</v>
      </c>
      <c r="AB701" s="11" t="n">
        <f aca="false">SUMPRODUCT((AA701&gt;'Tax Tables'!$A$5:$A$17)*(AA701-'Tax Tables'!$A$5:$A$17)*'Tax Tables'!$C$5:$C$17)</f>
        <v>45386</v>
      </c>
      <c r="AC701" s="11" t="n">
        <f aca="false">IF(W701&lt;0,-1E+099,P701-T701-AB701+Y701+(T701+U701)*Calculator!$B$9)</f>
        <v>351542.675</v>
      </c>
    </row>
    <row r="702" customFormat="false" ht="15" hidden="false" customHeight="false" outlineLevel="0" collapsed="false">
      <c r="A702" s="11" t="n">
        <f aca="false">689*$B$3</f>
        <v>344500</v>
      </c>
      <c r="B702" s="11" t="n">
        <f aca="false">0</f>
        <v>0</v>
      </c>
      <c r="C702" s="11" t="n">
        <f aca="false">A702-B702</f>
        <v>344500</v>
      </c>
      <c r="D702" s="11" t="n">
        <f aca="false">IF(Calculator!$B$6="Yes",MIN(B702,'Tax Tables'!$B$31*'Tax Tables'!$B$32),0)</f>
        <v>0</v>
      </c>
      <c r="E702" s="11" t="n">
        <f aca="false">D702*Calculator!$B$7</f>
        <v>0</v>
      </c>
      <c r="F702" s="11" t="n">
        <f aca="false">D702*Calculator!$B$8</f>
        <v>0</v>
      </c>
      <c r="G702" s="11" t="n">
        <f aca="false">IF(B702&gt;0,'Tax Tables'!$B$32*MIN(MAX(B702/'Tax Tables'!$B$32*'Tax Tables'!$B$33,'Tax Tables'!$B$34),'Tax Tables'!$B$35),0)</f>
        <v>0</v>
      </c>
      <c r="H702" s="11" t="n">
        <f aca="false">Calculator!$B$5-A702-F702-G702</f>
        <v>55500</v>
      </c>
      <c r="I702" s="11" t="n">
        <f aca="false">'Tax Tables'!$B$22*(MAX(H702,0)-IF(Calculator!$B$10="Yes",MIN(MAX(H702,0),'Tax Tables'!$B$27)*'Tax Tables'!$B$28+MIN(MAX(MAX(H702,0)-'Tax Tables'!$B$27,0),'Tax Tables'!$B$29)*'Tax Tables'!$B$30,MIN(MAX(H702,0),'Tax Tables'!$B$23)*'Tax Tables'!$B$24+MIN(MAX(MAX(H702,0)-'Tax Tables'!$B$23,0),'Tax Tables'!$B$25)*'Tax Tables'!$B$26))*1-MIN('Tax Tables'!$B$22*(MAX(H702,0)-IF(Calculator!$B$10="Yes",MIN(MAX(H702,0),'Tax Tables'!$B$27)*'Tax Tables'!$B$28+MIN(MAX(MAX(H702,0)-'Tax Tables'!$B$27,0),'Tax Tables'!$B$29)*'Tax Tables'!$B$30,MIN(MAX(H702,0),'Tax Tables'!$B$23)*'Tax Tables'!$B$24+MIN(MAX(MAX(H702,0)-'Tax Tables'!$B$23,0),'Tax Tables'!$B$25)*'Tax Tables'!$B$26))*Calculator!$B$11,Calculator!$B$12)</f>
        <v>4292.5</v>
      </c>
      <c r="J702" s="11" t="n">
        <f aca="false">MAX(H702,0)-I702</f>
        <v>51207.5</v>
      </c>
      <c r="K702" s="11" t="n">
        <f aca="false">MIN(IF(A702&gt;0,Calculator!$B$13,0)+E702+Calculator!$B$14,'Tax Tables'!$B$36)</f>
        <v>1000</v>
      </c>
      <c r="L702" s="11" t="n">
        <f aca="false">MAX(A702-K702,0)</f>
        <v>343500</v>
      </c>
      <c r="M702" s="11" t="n">
        <f aca="false">SUMPRODUCT((L702&gt;'Tax Tables'!$A$5:$A$17)*(L702-'Tax Tables'!$A$5:$A$17)*'Tax Tables'!$C$5:$C$17)</f>
        <v>49720</v>
      </c>
      <c r="N702" s="11" t="n">
        <f aca="false">IF(H702&lt;0,-1E+099,A702-E702-M702+J702+(E702+F702)*Calculator!$B$9)</f>
        <v>345987.5</v>
      </c>
      <c r="O702" s="2"/>
      <c r="P702" s="11" t="n">
        <f aca="false">689*$B$3</f>
        <v>344500</v>
      </c>
      <c r="Q702" s="11" t="n">
        <f aca="false">MIN(P702,'Tax Tables'!$B$31*'Tax Tables'!$B$32)</f>
        <v>96000</v>
      </c>
      <c r="R702" s="11" t="n">
        <f aca="false">P702-Q702</f>
        <v>248500</v>
      </c>
      <c r="S702" s="11" t="n">
        <f aca="false">IF(Calculator!$B$6="Yes",MIN(Q702,'Tax Tables'!$B$31*'Tax Tables'!$B$32),0)</f>
        <v>96000</v>
      </c>
      <c r="T702" s="11" t="n">
        <f aca="false">S702*Calculator!$B$7</f>
        <v>19200</v>
      </c>
      <c r="U702" s="11" t="n">
        <f aca="false">S702*Calculator!$B$8</f>
        <v>16320</v>
      </c>
      <c r="V702" s="11" t="n">
        <f aca="false">IF(Q702&gt;0,'Tax Tables'!$B$32*MIN(MAX(Q702/'Tax Tables'!$B$32*'Tax Tables'!$B$33,'Tax Tables'!$B$34),'Tax Tables'!$B$35),0)</f>
        <v>135</v>
      </c>
      <c r="W702" s="11" t="n">
        <f aca="false">Calculator!$B$5-P702-U702-V702</f>
        <v>39045</v>
      </c>
      <c r="X702" s="11" t="n">
        <f aca="false">'Tax Tables'!$B$22*(MAX(W702,0)-IF(Calculator!$B$10="Yes",MIN(MAX(W702,0),'Tax Tables'!$B$27)*'Tax Tables'!$B$28+MIN(MAX(MAX(W702,0)-'Tax Tables'!$B$27,0),'Tax Tables'!$B$29)*'Tax Tables'!$B$30,MIN(MAX(W702,0),'Tax Tables'!$B$23)*'Tax Tables'!$B$24+MIN(MAX(MAX(W702,0)-'Tax Tables'!$B$23,0),'Tax Tables'!$B$25)*'Tax Tables'!$B$26))*1-MIN('Tax Tables'!$B$22*(MAX(W702,0)-IF(Calculator!$B$10="Yes",MIN(MAX(W702,0),'Tax Tables'!$B$27)*'Tax Tables'!$B$28+MIN(MAX(MAX(W702,0)-'Tax Tables'!$B$27,0),'Tax Tables'!$B$29)*'Tax Tables'!$B$30,MIN(MAX(W702,0),'Tax Tables'!$B$23)*'Tax Tables'!$B$24+MIN(MAX(MAX(W702,0)-'Tax Tables'!$B$23,0),'Tax Tables'!$B$25)*'Tax Tables'!$B$26))*Calculator!$B$11,Calculator!$B$12)</f>
        <v>2893.825</v>
      </c>
      <c r="Y702" s="11" t="n">
        <f aca="false">MAX(W702,0)-X702</f>
        <v>36151.175</v>
      </c>
      <c r="Z702" s="11" t="n">
        <f aca="false">MIN(IF(P702&gt;0,Calculator!$B$13,0)+T702+Calculator!$B$14,'Tax Tables'!$B$36)</f>
        <v>20200</v>
      </c>
      <c r="AA702" s="11" t="n">
        <f aca="false">MAX(P702-Z702,0)</f>
        <v>324300</v>
      </c>
      <c r="AB702" s="11" t="n">
        <f aca="false">SUMPRODUCT((AA702&gt;'Tax Tables'!$A$5:$A$17)*(AA702-'Tax Tables'!$A$5:$A$17)*'Tax Tables'!$C$5:$C$17)</f>
        <v>45496</v>
      </c>
      <c r="AC702" s="11" t="n">
        <f aca="false">IF(W702&lt;0,-1E+099,P702-T702-AB702+Y702+(T702+U702)*Calculator!$B$9)</f>
        <v>351475.175</v>
      </c>
    </row>
    <row r="703" customFormat="false" ht="15" hidden="false" customHeight="false" outlineLevel="0" collapsed="false">
      <c r="A703" s="11" t="n">
        <f aca="false">690*$B$3</f>
        <v>345000</v>
      </c>
      <c r="B703" s="11" t="n">
        <f aca="false">0</f>
        <v>0</v>
      </c>
      <c r="C703" s="11" t="n">
        <f aca="false">A703-B703</f>
        <v>345000</v>
      </c>
      <c r="D703" s="11" t="n">
        <f aca="false">IF(Calculator!$B$6="Yes",MIN(B703,'Tax Tables'!$B$31*'Tax Tables'!$B$32),0)</f>
        <v>0</v>
      </c>
      <c r="E703" s="11" t="n">
        <f aca="false">D703*Calculator!$B$7</f>
        <v>0</v>
      </c>
      <c r="F703" s="11" t="n">
        <f aca="false">D703*Calculator!$B$8</f>
        <v>0</v>
      </c>
      <c r="G703" s="11" t="n">
        <f aca="false">IF(B703&gt;0,'Tax Tables'!$B$32*MIN(MAX(B703/'Tax Tables'!$B$32*'Tax Tables'!$B$33,'Tax Tables'!$B$34),'Tax Tables'!$B$35),0)</f>
        <v>0</v>
      </c>
      <c r="H703" s="11" t="n">
        <f aca="false">Calculator!$B$5-A703-F703-G703</f>
        <v>55000</v>
      </c>
      <c r="I703" s="11" t="n">
        <f aca="false">'Tax Tables'!$B$22*(MAX(H703,0)-IF(Calculator!$B$10="Yes",MIN(MAX(H703,0),'Tax Tables'!$B$27)*'Tax Tables'!$B$28+MIN(MAX(MAX(H703,0)-'Tax Tables'!$B$27,0),'Tax Tables'!$B$29)*'Tax Tables'!$B$30,MIN(MAX(H703,0),'Tax Tables'!$B$23)*'Tax Tables'!$B$24+MIN(MAX(MAX(H703,0)-'Tax Tables'!$B$23,0),'Tax Tables'!$B$25)*'Tax Tables'!$B$26))*1-MIN('Tax Tables'!$B$22*(MAX(H703,0)-IF(Calculator!$B$10="Yes",MIN(MAX(H703,0),'Tax Tables'!$B$27)*'Tax Tables'!$B$28+MIN(MAX(MAX(H703,0)-'Tax Tables'!$B$27,0),'Tax Tables'!$B$29)*'Tax Tables'!$B$30,MIN(MAX(H703,0),'Tax Tables'!$B$23)*'Tax Tables'!$B$24+MIN(MAX(MAX(H703,0)-'Tax Tables'!$B$23,0),'Tax Tables'!$B$25)*'Tax Tables'!$B$26))*Calculator!$B$11,Calculator!$B$12)</f>
        <v>4250</v>
      </c>
      <c r="J703" s="11" t="n">
        <f aca="false">MAX(H703,0)-I703</f>
        <v>50750</v>
      </c>
      <c r="K703" s="11" t="n">
        <f aca="false">MIN(IF(A703&gt;0,Calculator!$B$13,0)+E703+Calculator!$B$14,'Tax Tables'!$B$36)</f>
        <v>1000</v>
      </c>
      <c r="L703" s="11" t="n">
        <f aca="false">MAX(A703-K703,0)</f>
        <v>344000</v>
      </c>
      <c r="M703" s="11" t="n">
        <f aca="false">SUMPRODUCT((L703&gt;'Tax Tables'!$A$5:$A$17)*(L703-'Tax Tables'!$A$5:$A$17)*'Tax Tables'!$C$5:$C$17)</f>
        <v>49830</v>
      </c>
      <c r="N703" s="11" t="n">
        <f aca="false">IF(H703&lt;0,-1E+099,A703-E703-M703+J703+(E703+F703)*Calculator!$B$9)</f>
        <v>345920</v>
      </c>
      <c r="O703" s="2"/>
      <c r="P703" s="11" t="n">
        <f aca="false">690*$B$3</f>
        <v>345000</v>
      </c>
      <c r="Q703" s="11" t="n">
        <f aca="false">MIN(P703,'Tax Tables'!$B$31*'Tax Tables'!$B$32)</f>
        <v>96000</v>
      </c>
      <c r="R703" s="11" t="n">
        <f aca="false">P703-Q703</f>
        <v>249000</v>
      </c>
      <c r="S703" s="11" t="n">
        <f aca="false">IF(Calculator!$B$6="Yes",MIN(Q703,'Tax Tables'!$B$31*'Tax Tables'!$B$32),0)</f>
        <v>96000</v>
      </c>
      <c r="T703" s="11" t="n">
        <f aca="false">S703*Calculator!$B$7</f>
        <v>19200</v>
      </c>
      <c r="U703" s="11" t="n">
        <f aca="false">S703*Calculator!$B$8</f>
        <v>16320</v>
      </c>
      <c r="V703" s="11" t="n">
        <f aca="false">IF(Q703&gt;0,'Tax Tables'!$B$32*MIN(MAX(Q703/'Tax Tables'!$B$32*'Tax Tables'!$B$33,'Tax Tables'!$B$34),'Tax Tables'!$B$35),0)</f>
        <v>135</v>
      </c>
      <c r="W703" s="11" t="n">
        <f aca="false">Calculator!$B$5-P703-U703-V703</f>
        <v>38545</v>
      </c>
      <c r="X703" s="11" t="n">
        <f aca="false">'Tax Tables'!$B$22*(MAX(W703,0)-IF(Calculator!$B$10="Yes",MIN(MAX(W703,0),'Tax Tables'!$B$27)*'Tax Tables'!$B$28+MIN(MAX(MAX(W703,0)-'Tax Tables'!$B$27,0),'Tax Tables'!$B$29)*'Tax Tables'!$B$30,MIN(MAX(W703,0),'Tax Tables'!$B$23)*'Tax Tables'!$B$24+MIN(MAX(MAX(W703,0)-'Tax Tables'!$B$23,0),'Tax Tables'!$B$25)*'Tax Tables'!$B$26))*1-MIN('Tax Tables'!$B$22*(MAX(W703,0)-IF(Calculator!$B$10="Yes",MIN(MAX(W703,0),'Tax Tables'!$B$27)*'Tax Tables'!$B$28+MIN(MAX(MAX(W703,0)-'Tax Tables'!$B$27,0),'Tax Tables'!$B$29)*'Tax Tables'!$B$30,MIN(MAX(W703,0),'Tax Tables'!$B$23)*'Tax Tables'!$B$24+MIN(MAX(MAX(W703,0)-'Tax Tables'!$B$23,0),'Tax Tables'!$B$25)*'Tax Tables'!$B$26))*Calculator!$B$11,Calculator!$B$12)</f>
        <v>2851.325</v>
      </c>
      <c r="Y703" s="11" t="n">
        <f aca="false">MAX(W703,0)-X703</f>
        <v>35693.675</v>
      </c>
      <c r="Z703" s="11" t="n">
        <f aca="false">MIN(IF(P703&gt;0,Calculator!$B$13,0)+T703+Calculator!$B$14,'Tax Tables'!$B$36)</f>
        <v>20200</v>
      </c>
      <c r="AA703" s="11" t="n">
        <f aca="false">MAX(P703-Z703,0)</f>
        <v>324800</v>
      </c>
      <c r="AB703" s="11" t="n">
        <f aca="false">SUMPRODUCT((AA703&gt;'Tax Tables'!$A$5:$A$17)*(AA703-'Tax Tables'!$A$5:$A$17)*'Tax Tables'!$C$5:$C$17)</f>
        <v>45606</v>
      </c>
      <c r="AC703" s="11" t="n">
        <f aca="false">IF(W703&lt;0,-1E+099,P703-T703-AB703+Y703+(T703+U703)*Calculator!$B$9)</f>
        <v>351407.675</v>
      </c>
    </row>
    <row r="704" customFormat="false" ht="15" hidden="false" customHeight="false" outlineLevel="0" collapsed="false">
      <c r="A704" s="11" t="n">
        <f aca="false">691*$B$3</f>
        <v>345500</v>
      </c>
      <c r="B704" s="11" t="n">
        <f aca="false">0</f>
        <v>0</v>
      </c>
      <c r="C704" s="11" t="n">
        <f aca="false">A704-B704</f>
        <v>345500</v>
      </c>
      <c r="D704" s="11" t="n">
        <f aca="false">IF(Calculator!$B$6="Yes",MIN(B704,'Tax Tables'!$B$31*'Tax Tables'!$B$32),0)</f>
        <v>0</v>
      </c>
      <c r="E704" s="11" t="n">
        <f aca="false">D704*Calculator!$B$7</f>
        <v>0</v>
      </c>
      <c r="F704" s="11" t="n">
        <f aca="false">D704*Calculator!$B$8</f>
        <v>0</v>
      </c>
      <c r="G704" s="11" t="n">
        <f aca="false">IF(B704&gt;0,'Tax Tables'!$B$32*MIN(MAX(B704/'Tax Tables'!$B$32*'Tax Tables'!$B$33,'Tax Tables'!$B$34),'Tax Tables'!$B$35),0)</f>
        <v>0</v>
      </c>
      <c r="H704" s="11" t="n">
        <f aca="false">Calculator!$B$5-A704-F704-G704</f>
        <v>54500</v>
      </c>
      <c r="I704" s="11" t="n">
        <f aca="false">'Tax Tables'!$B$22*(MAX(H704,0)-IF(Calculator!$B$10="Yes",MIN(MAX(H704,0),'Tax Tables'!$B$27)*'Tax Tables'!$B$28+MIN(MAX(MAX(H704,0)-'Tax Tables'!$B$27,0),'Tax Tables'!$B$29)*'Tax Tables'!$B$30,MIN(MAX(H704,0),'Tax Tables'!$B$23)*'Tax Tables'!$B$24+MIN(MAX(MAX(H704,0)-'Tax Tables'!$B$23,0),'Tax Tables'!$B$25)*'Tax Tables'!$B$26))*1-MIN('Tax Tables'!$B$22*(MAX(H704,0)-IF(Calculator!$B$10="Yes",MIN(MAX(H704,0),'Tax Tables'!$B$27)*'Tax Tables'!$B$28+MIN(MAX(MAX(H704,0)-'Tax Tables'!$B$27,0),'Tax Tables'!$B$29)*'Tax Tables'!$B$30,MIN(MAX(H704,0),'Tax Tables'!$B$23)*'Tax Tables'!$B$24+MIN(MAX(MAX(H704,0)-'Tax Tables'!$B$23,0),'Tax Tables'!$B$25)*'Tax Tables'!$B$26))*Calculator!$B$11,Calculator!$B$12)</f>
        <v>4207.5</v>
      </c>
      <c r="J704" s="11" t="n">
        <f aca="false">MAX(H704,0)-I704</f>
        <v>50292.5</v>
      </c>
      <c r="K704" s="11" t="n">
        <f aca="false">MIN(IF(A704&gt;0,Calculator!$B$13,0)+E704+Calculator!$B$14,'Tax Tables'!$B$36)</f>
        <v>1000</v>
      </c>
      <c r="L704" s="11" t="n">
        <f aca="false">MAX(A704-K704,0)</f>
        <v>344500</v>
      </c>
      <c r="M704" s="11" t="n">
        <f aca="false">SUMPRODUCT((L704&gt;'Tax Tables'!$A$5:$A$17)*(L704-'Tax Tables'!$A$5:$A$17)*'Tax Tables'!$C$5:$C$17)</f>
        <v>49940</v>
      </c>
      <c r="N704" s="11" t="n">
        <f aca="false">IF(H704&lt;0,-1E+099,A704-E704-M704+J704+(E704+F704)*Calculator!$B$9)</f>
        <v>345852.5</v>
      </c>
      <c r="O704" s="2"/>
      <c r="P704" s="11" t="n">
        <f aca="false">691*$B$3</f>
        <v>345500</v>
      </c>
      <c r="Q704" s="11" t="n">
        <f aca="false">MIN(P704,'Tax Tables'!$B$31*'Tax Tables'!$B$32)</f>
        <v>96000</v>
      </c>
      <c r="R704" s="11" t="n">
        <f aca="false">P704-Q704</f>
        <v>249500</v>
      </c>
      <c r="S704" s="11" t="n">
        <f aca="false">IF(Calculator!$B$6="Yes",MIN(Q704,'Tax Tables'!$B$31*'Tax Tables'!$B$32),0)</f>
        <v>96000</v>
      </c>
      <c r="T704" s="11" t="n">
        <f aca="false">S704*Calculator!$B$7</f>
        <v>19200</v>
      </c>
      <c r="U704" s="11" t="n">
        <f aca="false">S704*Calculator!$B$8</f>
        <v>16320</v>
      </c>
      <c r="V704" s="11" t="n">
        <f aca="false">IF(Q704&gt;0,'Tax Tables'!$B$32*MIN(MAX(Q704/'Tax Tables'!$B$32*'Tax Tables'!$B$33,'Tax Tables'!$B$34),'Tax Tables'!$B$35),0)</f>
        <v>135</v>
      </c>
      <c r="W704" s="11" t="n">
        <f aca="false">Calculator!$B$5-P704-U704-V704</f>
        <v>38045</v>
      </c>
      <c r="X704" s="11" t="n">
        <f aca="false">'Tax Tables'!$B$22*(MAX(W704,0)-IF(Calculator!$B$10="Yes",MIN(MAX(W704,0),'Tax Tables'!$B$27)*'Tax Tables'!$B$28+MIN(MAX(MAX(W704,0)-'Tax Tables'!$B$27,0),'Tax Tables'!$B$29)*'Tax Tables'!$B$30,MIN(MAX(W704,0),'Tax Tables'!$B$23)*'Tax Tables'!$B$24+MIN(MAX(MAX(W704,0)-'Tax Tables'!$B$23,0),'Tax Tables'!$B$25)*'Tax Tables'!$B$26))*1-MIN('Tax Tables'!$B$22*(MAX(W704,0)-IF(Calculator!$B$10="Yes",MIN(MAX(W704,0),'Tax Tables'!$B$27)*'Tax Tables'!$B$28+MIN(MAX(MAX(W704,0)-'Tax Tables'!$B$27,0),'Tax Tables'!$B$29)*'Tax Tables'!$B$30,MIN(MAX(W704,0),'Tax Tables'!$B$23)*'Tax Tables'!$B$24+MIN(MAX(MAX(W704,0)-'Tax Tables'!$B$23,0),'Tax Tables'!$B$25)*'Tax Tables'!$B$26))*Calculator!$B$11,Calculator!$B$12)</f>
        <v>2808.825</v>
      </c>
      <c r="Y704" s="11" t="n">
        <f aca="false">MAX(W704,0)-X704</f>
        <v>35236.175</v>
      </c>
      <c r="Z704" s="11" t="n">
        <f aca="false">MIN(IF(P704&gt;0,Calculator!$B$13,0)+T704+Calculator!$B$14,'Tax Tables'!$B$36)</f>
        <v>20200</v>
      </c>
      <c r="AA704" s="11" t="n">
        <f aca="false">MAX(P704-Z704,0)</f>
        <v>325300</v>
      </c>
      <c r="AB704" s="11" t="n">
        <f aca="false">SUMPRODUCT((AA704&gt;'Tax Tables'!$A$5:$A$17)*(AA704-'Tax Tables'!$A$5:$A$17)*'Tax Tables'!$C$5:$C$17)</f>
        <v>45716</v>
      </c>
      <c r="AC704" s="11" t="n">
        <f aca="false">IF(W704&lt;0,-1E+099,P704-T704-AB704+Y704+(T704+U704)*Calculator!$B$9)</f>
        <v>351340.175</v>
      </c>
    </row>
    <row r="705" customFormat="false" ht="15" hidden="false" customHeight="false" outlineLevel="0" collapsed="false">
      <c r="A705" s="11" t="n">
        <f aca="false">692*$B$3</f>
        <v>346000</v>
      </c>
      <c r="B705" s="11" t="n">
        <f aca="false">0</f>
        <v>0</v>
      </c>
      <c r="C705" s="11" t="n">
        <f aca="false">A705-B705</f>
        <v>346000</v>
      </c>
      <c r="D705" s="11" t="n">
        <f aca="false">IF(Calculator!$B$6="Yes",MIN(B705,'Tax Tables'!$B$31*'Tax Tables'!$B$32),0)</f>
        <v>0</v>
      </c>
      <c r="E705" s="11" t="n">
        <f aca="false">D705*Calculator!$B$7</f>
        <v>0</v>
      </c>
      <c r="F705" s="11" t="n">
        <f aca="false">D705*Calculator!$B$8</f>
        <v>0</v>
      </c>
      <c r="G705" s="11" t="n">
        <f aca="false">IF(B705&gt;0,'Tax Tables'!$B$32*MIN(MAX(B705/'Tax Tables'!$B$32*'Tax Tables'!$B$33,'Tax Tables'!$B$34),'Tax Tables'!$B$35),0)</f>
        <v>0</v>
      </c>
      <c r="H705" s="11" t="n">
        <f aca="false">Calculator!$B$5-A705-F705-G705</f>
        <v>54000</v>
      </c>
      <c r="I705" s="11" t="n">
        <f aca="false">'Tax Tables'!$B$22*(MAX(H705,0)-IF(Calculator!$B$10="Yes",MIN(MAX(H705,0),'Tax Tables'!$B$27)*'Tax Tables'!$B$28+MIN(MAX(MAX(H705,0)-'Tax Tables'!$B$27,0),'Tax Tables'!$B$29)*'Tax Tables'!$B$30,MIN(MAX(H705,0),'Tax Tables'!$B$23)*'Tax Tables'!$B$24+MIN(MAX(MAX(H705,0)-'Tax Tables'!$B$23,0),'Tax Tables'!$B$25)*'Tax Tables'!$B$26))*1-MIN('Tax Tables'!$B$22*(MAX(H705,0)-IF(Calculator!$B$10="Yes",MIN(MAX(H705,0),'Tax Tables'!$B$27)*'Tax Tables'!$B$28+MIN(MAX(MAX(H705,0)-'Tax Tables'!$B$27,0),'Tax Tables'!$B$29)*'Tax Tables'!$B$30,MIN(MAX(H705,0),'Tax Tables'!$B$23)*'Tax Tables'!$B$24+MIN(MAX(MAX(H705,0)-'Tax Tables'!$B$23,0),'Tax Tables'!$B$25)*'Tax Tables'!$B$26))*Calculator!$B$11,Calculator!$B$12)</f>
        <v>4165</v>
      </c>
      <c r="J705" s="11" t="n">
        <f aca="false">MAX(H705,0)-I705</f>
        <v>49835</v>
      </c>
      <c r="K705" s="11" t="n">
        <f aca="false">MIN(IF(A705&gt;0,Calculator!$B$13,0)+E705+Calculator!$B$14,'Tax Tables'!$B$36)</f>
        <v>1000</v>
      </c>
      <c r="L705" s="11" t="n">
        <f aca="false">MAX(A705-K705,0)</f>
        <v>345000</v>
      </c>
      <c r="M705" s="11" t="n">
        <f aca="false">SUMPRODUCT((L705&gt;'Tax Tables'!$A$5:$A$17)*(L705-'Tax Tables'!$A$5:$A$17)*'Tax Tables'!$C$5:$C$17)</f>
        <v>50050</v>
      </c>
      <c r="N705" s="11" t="n">
        <f aca="false">IF(H705&lt;0,-1E+099,A705-E705-M705+J705+(E705+F705)*Calculator!$B$9)</f>
        <v>345785</v>
      </c>
      <c r="O705" s="2"/>
      <c r="P705" s="11" t="n">
        <f aca="false">692*$B$3</f>
        <v>346000</v>
      </c>
      <c r="Q705" s="11" t="n">
        <f aca="false">MIN(P705,'Tax Tables'!$B$31*'Tax Tables'!$B$32)</f>
        <v>96000</v>
      </c>
      <c r="R705" s="11" t="n">
        <f aca="false">P705-Q705</f>
        <v>250000</v>
      </c>
      <c r="S705" s="11" t="n">
        <f aca="false">IF(Calculator!$B$6="Yes",MIN(Q705,'Tax Tables'!$B$31*'Tax Tables'!$B$32),0)</f>
        <v>96000</v>
      </c>
      <c r="T705" s="11" t="n">
        <f aca="false">S705*Calculator!$B$7</f>
        <v>19200</v>
      </c>
      <c r="U705" s="11" t="n">
        <f aca="false">S705*Calculator!$B$8</f>
        <v>16320</v>
      </c>
      <c r="V705" s="11" t="n">
        <f aca="false">IF(Q705&gt;0,'Tax Tables'!$B$32*MIN(MAX(Q705/'Tax Tables'!$B$32*'Tax Tables'!$B$33,'Tax Tables'!$B$34),'Tax Tables'!$B$35),0)</f>
        <v>135</v>
      </c>
      <c r="W705" s="11" t="n">
        <f aca="false">Calculator!$B$5-P705-U705-V705</f>
        <v>37545</v>
      </c>
      <c r="X705" s="11" t="n">
        <f aca="false">'Tax Tables'!$B$22*(MAX(W705,0)-IF(Calculator!$B$10="Yes",MIN(MAX(W705,0),'Tax Tables'!$B$27)*'Tax Tables'!$B$28+MIN(MAX(MAX(W705,0)-'Tax Tables'!$B$27,0),'Tax Tables'!$B$29)*'Tax Tables'!$B$30,MIN(MAX(W705,0),'Tax Tables'!$B$23)*'Tax Tables'!$B$24+MIN(MAX(MAX(W705,0)-'Tax Tables'!$B$23,0),'Tax Tables'!$B$25)*'Tax Tables'!$B$26))*1-MIN('Tax Tables'!$B$22*(MAX(W705,0)-IF(Calculator!$B$10="Yes",MIN(MAX(W705,0),'Tax Tables'!$B$27)*'Tax Tables'!$B$28+MIN(MAX(MAX(W705,0)-'Tax Tables'!$B$27,0),'Tax Tables'!$B$29)*'Tax Tables'!$B$30,MIN(MAX(W705,0),'Tax Tables'!$B$23)*'Tax Tables'!$B$24+MIN(MAX(MAX(W705,0)-'Tax Tables'!$B$23,0),'Tax Tables'!$B$25)*'Tax Tables'!$B$26))*Calculator!$B$11,Calculator!$B$12)</f>
        <v>2766.325</v>
      </c>
      <c r="Y705" s="11" t="n">
        <f aca="false">MAX(W705,0)-X705</f>
        <v>34778.675</v>
      </c>
      <c r="Z705" s="11" t="n">
        <f aca="false">MIN(IF(P705&gt;0,Calculator!$B$13,0)+T705+Calculator!$B$14,'Tax Tables'!$B$36)</f>
        <v>20200</v>
      </c>
      <c r="AA705" s="11" t="n">
        <f aca="false">MAX(P705-Z705,0)</f>
        <v>325800</v>
      </c>
      <c r="AB705" s="11" t="n">
        <f aca="false">SUMPRODUCT((AA705&gt;'Tax Tables'!$A$5:$A$17)*(AA705-'Tax Tables'!$A$5:$A$17)*'Tax Tables'!$C$5:$C$17)</f>
        <v>45826</v>
      </c>
      <c r="AC705" s="11" t="n">
        <f aca="false">IF(W705&lt;0,-1E+099,P705-T705-AB705+Y705+(T705+U705)*Calculator!$B$9)</f>
        <v>351272.675</v>
      </c>
    </row>
    <row r="706" customFormat="false" ht="15" hidden="false" customHeight="false" outlineLevel="0" collapsed="false">
      <c r="A706" s="11" t="n">
        <f aca="false">693*$B$3</f>
        <v>346500</v>
      </c>
      <c r="B706" s="11" t="n">
        <f aca="false">0</f>
        <v>0</v>
      </c>
      <c r="C706" s="11" t="n">
        <f aca="false">A706-B706</f>
        <v>346500</v>
      </c>
      <c r="D706" s="11" t="n">
        <f aca="false">IF(Calculator!$B$6="Yes",MIN(B706,'Tax Tables'!$B$31*'Tax Tables'!$B$32),0)</f>
        <v>0</v>
      </c>
      <c r="E706" s="11" t="n">
        <f aca="false">D706*Calculator!$B$7</f>
        <v>0</v>
      </c>
      <c r="F706" s="11" t="n">
        <f aca="false">D706*Calculator!$B$8</f>
        <v>0</v>
      </c>
      <c r="G706" s="11" t="n">
        <f aca="false">IF(B706&gt;0,'Tax Tables'!$B$32*MIN(MAX(B706/'Tax Tables'!$B$32*'Tax Tables'!$B$33,'Tax Tables'!$B$34),'Tax Tables'!$B$35),0)</f>
        <v>0</v>
      </c>
      <c r="H706" s="11" t="n">
        <f aca="false">Calculator!$B$5-A706-F706-G706</f>
        <v>53500</v>
      </c>
      <c r="I706" s="11" t="n">
        <f aca="false">'Tax Tables'!$B$22*(MAX(H706,0)-IF(Calculator!$B$10="Yes",MIN(MAX(H706,0),'Tax Tables'!$B$27)*'Tax Tables'!$B$28+MIN(MAX(MAX(H706,0)-'Tax Tables'!$B$27,0),'Tax Tables'!$B$29)*'Tax Tables'!$B$30,MIN(MAX(H706,0),'Tax Tables'!$B$23)*'Tax Tables'!$B$24+MIN(MAX(MAX(H706,0)-'Tax Tables'!$B$23,0),'Tax Tables'!$B$25)*'Tax Tables'!$B$26))*1-MIN('Tax Tables'!$B$22*(MAX(H706,0)-IF(Calculator!$B$10="Yes",MIN(MAX(H706,0),'Tax Tables'!$B$27)*'Tax Tables'!$B$28+MIN(MAX(MAX(H706,0)-'Tax Tables'!$B$27,0),'Tax Tables'!$B$29)*'Tax Tables'!$B$30,MIN(MAX(H706,0),'Tax Tables'!$B$23)*'Tax Tables'!$B$24+MIN(MAX(MAX(H706,0)-'Tax Tables'!$B$23,0),'Tax Tables'!$B$25)*'Tax Tables'!$B$26))*Calculator!$B$11,Calculator!$B$12)</f>
        <v>4122.5</v>
      </c>
      <c r="J706" s="11" t="n">
        <f aca="false">MAX(H706,0)-I706</f>
        <v>49377.5</v>
      </c>
      <c r="K706" s="11" t="n">
        <f aca="false">MIN(IF(A706&gt;0,Calculator!$B$13,0)+E706+Calculator!$B$14,'Tax Tables'!$B$36)</f>
        <v>1000</v>
      </c>
      <c r="L706" s="11" t="n">
        <f aca="false">MAX(A706-K706,0)</f>
        <v>345500</v>
      </c>
      <c r="M706" s="11" t="n">
        <f aca="false">SUMPRODUCT((L706&gt;'Tax Tables'!$A$5:$A$17)*(L706-'Tax Tables'!$A$5:$A$17)*'Tax Tables'!$C$5:$C$17)</f>
        <v>50160</v>
      </c>
      <c r="N706" s="11" t="n">
        <f aca="false">IF(H706&lt;0,-1E+099,A706-E706-M706+J706+(E706+F706)*Calculator!$B$9)</f>
        <v>345717.5</v>
      </c>
      <c r="O706" s="2"/>
      <c r="P706" s="11" t="n">
        <f aca="false">693*$B$3</f>
        <v>346500</v>
      </c>
      <c r="Q706" s="11" t="n">
        <f aca="false">MIN(P706,'Tax Tables'!$B$31*'Tax Tables'!$B$32)</f>
        <v>96000</v>
      </c>
      <c r="R706" s="11" t="n">
        <f aca="false">P706-Q706</f>
        <v>250500</v>
      </c>
      <c r="S706" s="11" t="n">
        <f aca="false">IF(Calculator!$B$6="Yes",MIN(Q706,'Tax Tables'!$B$31*'Tax Tables'!$B$32),0)</f>
        <v>96000</v>
      </c>
      <c r="T706" s="11" t="n">
        <f aca="false">S706*Calculator!$B$7</f>
        <v>19200</v>
      </c>
      <c r="U706" s="11" t="n">
        <f aca="false">S706*Calculator!$B$8</f>
        <v>16320</v>
      </c>
      <c r="V706" s="11" t="n">
        <f aca="false">IF(Q706&gt;0,'Tax Tables'!$B$32*MIN(MAX(Q706/'Tax Tables'!$B$32*'Tax Tables'!$B$33,'Tax Tables'!$B$34),'Tax Tables'!$B$35),0)</f>
        <v>135</v>
      </c>
      <c r="W706" s="11" t="n">
        <f aca="false">Calculator!$B$5-P706-U706-V706</f>
        <v>37045</v>
      </c>
      <c r="X706" s="11" t="n">
        <f aca="false">'Tax Tables'!$B$22*(MAX(W706,0)-IF(Calculator!$B$10="Yes",MIN(MAX(W706,0),'Tax Tables'!$B$27)*'Tax Tables'!$B$28+MIN(MAX(MAX(W706,0)-'Tax Tables'!$B$27,0),'Tax Tables'!$B$29)*'Tax Tables'!$B$30,MIN(MAX(W706,0),'Tax Tables'!$B$23)*'Tax Tables'!$B$24+MIN(MAX(MAX(W706,0)-'Tax Tables'!$B$23,0),'Tax Tables'!$B$25)*'Tax Tables'!$B$26))*1-MIN('Tax Tables'!$B$22*(MAX(W706,0)-IF(Calculator!$B$10="Yes",MIN(MAX(W706,0),'Tax Tables'!$B$27)*'Tax Tables'!$B$28+MIN(MAX(MAX(W706,0)-'Tax Tables'!$B$27,0),'Tax Tables'!$B$29)*'Tax Tables'!$B$30,MIN(MAX(W706,0),'Tax Tables'!$B$23)*'Tax Tables'!$B$24+MIN(MAX(MAX(W706,0)-'Tax Tables'!$B$23,0),'Tax Tables'!$B$25)*'Tax Tables'!$B$26))*Calculator!$B$11,Calculator!$B$12)</f>
        <v>2723.825</v>
      </c>
      <c r="Y706" s="11" t="n">
        <f aca="false">MAX(W706,0)-X706</f>
        <v>34321.175</v>
      </c>
      <c r="Z706" s="11" t="n">
        <f aca="false">MIN(IF(P706&gt;0,Calculator!$B$13,0)+T706+Calculator!$B$14,'Tax Tables'!$B$36)</f>
        <v>20200</v>
      </c>
      <c r="AA706" s="11" t="n">
        <f aca="false">MAX(P706-Z706,0)</f>
        <v>326300</v>
      </c>
      <c r="AB706" s="11" t="n">
        <f aca="false">SUMPRODUCT((AA706&gt;'Tax Tables'!$A$5:$A$17)*(AA706-'Tax Tables'!$A$5:$A$17)*'Tax Tables'!$C$5:$C$17)</f>
        <v>45936</v>
      </c>
      <c r="AC706" s="11" t="n">
        <f aca="false">IF(W706&lt;0,-1E+099,P706-T706-AB706+Y706+(T706+U706)*Calculator!$B$9)</f>
        <v>351205.175</v>
      </c>
    </row>
    <row r="707" customFormat="false" ht="15" hidden="false" customHeight="false" outlineLevel="0" collapsed="false">
      <c r="A707" s="11" t="n">
        <f aca="false">694*$B$3</f>
        <v>347000</v>
      </c>
      <c r="B707" s="11" t="n">
        <f aca="false">0</f>
        <v>0</v>
      </c>
      <c r="C707" s="11" t="n">
        <f aca="false">A707-B707</f>
        <v>347000</v>
      </c>
      <c r="D707" s="11" t="n">
        <f aca="false">IF(Calculator!$B$6="Yes",MIN(B707,'Tax Tables'!$B$31*'Tax Tables'!$B$32),0)</f>
        <v>0</v>
      </c>
      <c r="E707" s="11" t="n">
        <f aca="false">D707*Calculator!$B$7</f>
        <v>0</v>
      </c>
      <c r="F707" s="11" t="n">
        <f aca="false">D707*Calculator!$B$8</f>
        <v>0</v>
      </c>
      <c r="G707" s="11" t="n">
        <f aca="false">IF(B707&gt;0,'Tax Tables'!$B$32*MIN(MAX(B707/'Tax Tables'!$B$32*'Tax Tables'!$B$33,'Tax Tables'!$B$34),'Tax Tables'!$B$35),0)</f>
        <v>0</v>
      </c>
      <c r="H707" s="11" t="n">
        <f aca="false">Calculator!$B$5-A707-F707-G707</f>
        <v>53000</v>
      </c>
      <c r="I707" s="11" t="n">
        <f aca="false">'Tax Tables'!$B$22*(MAX(H707,0)-IF(Calculator!$B$10="Yes",MIN(MAX(H707,0),'Tax Tables'!$B$27)*'Tax Tables'!$B$28+MIN(MAX(MAX(H707,0)-'Tax Tables'!$B$27,0),'Tax Tables'!$B$29)*'Tax Tables'!$B$30,MIN(MAX(H707,0),'Tax Tables'!$B$23)*'Tax Tables'!$B$24+MIN(MAX(MAX(H707,0)-'Tax Tables'!$B$23,0),'Tax Tables'!$B$25)*'Tax Tables'!$B$26))*1-MIN('Tax Tables'!$B$22*(MAX(H707,0)-IF(Calculator!$B$10="Yes",MIN(MAX(H707,0),'Tax Tables'!$B$27)*'Tax Tables'!$B$28+MIN(MAX(MAX(H707,0)-'Tax Tables'!$B$27,0),'Tax Tables'!$B$29)*'Tax Tables'!$B$30,MIN(MAX(H707,0),'Tax Tables'!$B$23)*'Tax Tables'!$B$24+MIN(MAX(MAX(H707,0)-'Tax Tables'!$B$23,0),'Tax Tables'!$B$25)*'Tax Tables'!$B$26))*Calculator!$B$11,Calculator!$B$12)</f>
        <v>4080</v>
      </c>
      <c r="J707" s="11" t="n">
        <f aca="false">MAX(H707,0)-I707</f>
        <v>48920</v>
      </c>
      <c r="K707" s="11" t="n">
        <f aca="false">MIN(IF(A707&gt;0,Calculator!$B$13,0)+E707+Calculator!$B$14,'Tax Tables'!$B$36)</f>
        <v>1000</v>
      </c>
      <c r="L707" s="11" t="n">
        <f aca="false">MAX(A707-K707,0)</f>
        <v>346000</v>
      </c>
      <c r="M707" s="11" t="n">
        <f aca="false">SUMPRODUCT((L707&gt;'Tax Tables'!$A$5:$A$17)*(L707-'Tax Tables'!$A$5:$A$17)*'Tax Tables'!$C$5:$C$17)</f>
        <v>50270</v>
      </c>
      <c r="N707" s="11" t="n">
        <f aca="false">IF(H707&lt;0,-1E+099,A707-E707-M707+J707+(E707+F707)*Calculator!$B$9)</f>
        <v>345650</v>
      </c>
      <c r="O707" s="2"/>
      <c r="P707" s="11" t="n">
        <f aca="false">694*$B$3</f>
        <v>347000</v>
      </c>
      <c r="Q707" s="11" t="n">
        <f aca="false">MIN(P707,'Tax Tables'!$B$31*'Tax Tables'!$B$32)</f>
        <v>96000</v>
      </c>
      <c r="R707" s="11" t="n">
        <f aca="false">P707-Q707</f>
        <v>251000</v>
      </c>
      <c r="S707" s="11" t="n">
        <f aca="false">IF(Calculator!$B$6="Yes",MIN(Q707,'Tax Tables'!$B$31*'Tax Tables'!$B$32),0)</f>
        <v>96000</v>
      </c>
      <c r="T707" s="11" t="n">
        <f aca="false">S707*Calculator!$B$7</f>
        <v>19200</v>
      </c>
      <c r="U707" s="11" t="n">
        <f aca="false">S707*Calculator!$B$8</f>
        <v>16320</v>
      </c>
      <c r="V707" s="11" t="n">
        <f aca="false">IF(Q707&gt;0,'Tax Tables'!$B$32*MIN(MAX(Q707/'Tax Tables'!$B$32*'Tax Tables'!$B$33,'Tax Tables'!$B$34),'Tax Tables'!$B$35),0)</f>
        <v>135</v>
      </c>
      <c r="W707" s="11" t="n">
        <f aca="false">Calculator!$B$5-P707-U707-V707</f>
        <v>36545</v>
      </c>
      <c r="X707" s="11" t="n">
        <f aca="false">'Tax Tables'!$B$22*(MAX(W707,0)-IF(Calculator!$B$10="Yes",MIN(MAX(W707,0),'Tax Tables'!$B$27)*'Tax Tables'!$B$28+MIN(MAX(MAX(W707,0)-'Tax Tables'!$B$27,0),'Tax Tables'!$B$29)*'Tax Tables'!$B$30,MIN(MAX(W707,0),'Tax Tables'!$B$23)*'Tax Tables'!$B$24+MIN(MAX(MAX(W707,0)-'Tax Tables'!$B$23,0),'Tax Tables'!$B$25)*'Tax Tables'!$B$26))*1-MIN('Tax Tables'!$B$22*(MAX(W707,0)-IF(Calculator!$B$10="Yes",MIN(MAX(W707,0),'Tax Tables'!$B$27)*'Tax Tables'!$B$28+MIN(MAX(MAX(W707,0)-'Tax Tables'!$B$27,0),'Tax Tables'!$B$29)*'Tax Tables'!$B$30,MIN(MAX(W707,0),'Tax Tables'!$B$23)*'Tax Tables'!$B$24+MIN(MAX(MAX(W707,0)-'Tax Tables'!$B$23,0),'Tax Tables'!$B$25)*'Tax Tables'!$B$26))*Calculator!$B$11,Calculator!$B$12)</f>
        <v>2681.325</v>
      </c>
      <c r="Y707" s="11" t="n">
        <f aca="false">MAX(W707,0)-X707</f>
        <v>33863.675</v>
      </c>
      <c r="Z707" s="11" t="n">
        <f aca="false">MIN(IF(P707&gt;0,Calculator!$B$13,0)+T707+Calculator!$B$14,'Tax Tables'!$B$36)</f>
        <v>20200</v>
      </c>
      <c r="AA707" s="11" t="n">
        <f aca="false">MAX(P707-Z707,0)</f>
        <v>326800</v>
      </c>
      <c r="AB707" s="11" t="n">
        <f aca="false">SUMPRODUCT((AA707&gt;'Tax Tables'!$A$5:$A$17)*(AA707-'Tax Tables'!$A$5:$A$17)*'Tax Tables'!$C$5:$C$17)</f>
        <v>46046</v>
      </c>
      <c r="AC707" s="11" t="n">
        <f aca="false">IF(W707&lt;0,-1E+099,P707-T707-AB707+Y707+(T707+U707)*Calculator!$B$9)</f>
        <v>351137.675</v>
      </c>
    </row>
    <row r="708" customFormat="false" ht="15" hidden="false" customHeight="false" outlineLevel="0" collapsed="false">
      <c r="A708" s="11" t="n">
        <f aca="false">695*$B$3</f>
        <v>347500</v>
      </c>
      <c r="B708" s="11" t="n">
        <f aca="false">0</f>
        <v>0</v>
      </c>
      <c r="C708" s="11" t="n">
        <f aca="false">A708-B708</f>
        <v>347500</v>
      </c>
      <c r="D708" s="11" t="n">
        <f aca="false">IF(Calculator!$B$6="Yes",MIN(B708,'Tax Tables'!$B$31*'Tax Tables'!$B$32),0)</f>
        <v>0</v>
      </c>
      <c r="E708" s="11" t="n">
        <f aca="false">D708*Calculator!$B$7</f>
        <v>0</v>
      </c>
      <c r="F708" s="11" t="n">
        <f aca="false">D708*Calculator!$B$8</f>
        <v>0</v>
      </c>
      <c r="G708" s="11" t="n">
        <f aca="false">IF(B708&gt;0,'Tax Tables'!$B$32*MIN(MAX(B708/'Tax Tables'!$B$32*'Tax Tables'!$B$33,'Tax Tables'!$B$34),'Tax Tables'!$B$35),0)</f>
        <v>0</v>
      </c>
      <c r="H708" s="11" t="n">
        <f aca="false">Calculator!$B$5-A708-F708-G708</f>
        <v>52500</v>
      </c>
      <c r="I708" s="11" t="n">
        <f aca="false">'Tax Tables'!$B$22*(MAX(H708,0)-IF(Calculator!$B$10="Yes",MIN(MAX(H708,0),'Tax Tables'!$B$27)*'Tax Tables'!$B$28+MIN(MAX(MAX(H708,0)-'Tax Tables'!$B$27,0),'Tax Tables'!$B$29)*'Tax Tables'!$B$30,MIN(MAX(H708,0),'Tax Tables'!$B$23)*'Tax Tables'!$B$24+MIN(MAX(MAX(H708,0)-'Tax Tables'!$B$23,0),'Tax Tables'!$B$25)*'Tax Tables'!$B$26))*1-MIN('Tax Tables'!$B$22*(MAX(H708,0)-IF(Calculator!$B$10="Yes",MIN(MAX(H708,0),'Tax Tables'!$B$27)*'Tax Tables'!$B$28+MIN(MAX(MAX(H708,0)-'Tax Tables'!$B$27,0),'Tax Tables'!$B$29)*'Tax Tables'!$B$30,MIN(MAX(H708,0),'Tax Tables'!$B$23)*'Tax Tables'!$B$24+MIN(MAX(MAX(H708,0)-'Tax Tables'!$B$23,0),'Tax Tables'!$B$25)*'Tax Tables'!$B$26))*Calculator!$B$11,Calculator!$B$12)</f>
        <v>4037.5</v>
      </c>
      <c r="J708" s="11" t="n">
        <f aca="false">MAX(H708,0)-I708</f>
        <v>48462.5</v>
      </c>
      <c r="K708" s="11" t="n">
        <f aca="false">MIN(IF(A708&gt;0,Calculator!$B$13,0)+E708+Calculator!$B$14,'Tax Tables'!$B$36)</f>
        <v>1000</v>
      </c>
      <c r="L708" s="11" t="n">
        <f aca="false">MAX(A708-K708,0)</f>
        <v>346500</v>
      </c>
      <c r="M708" s="11" t="n">
        <f aca="false">SUMPRODUCT((L708&gt;'Tax Tables'!$A$5:$A$17)*(L708-'Tax Tables'!$A$5:$A$17)*'Tax Tables'!$C$5:$C$17)</f>
        <v>50380</v>
      </c>
      <c r="N708" s="11" t="n">
        <f aca="false">IF(H708&lt;0,-1E+099,A708-E708-M708+J708+(E708+F708)*Calculator!$B$9)</f>
        <v>345582.5</v>
      </c>
      <c r="O708" s="2"/>
      <c r="P708" s="11" t="n">
        <f aca="false">695*$B$3</f>
        <v>347500</v>
      </c>
      <c r="Q708" s="11" t="n">
        <f aca="false">MIN(P708,'Tax Tables'!$B$31*'Tax Tables'!$B$32)</f>
        <v>96000</v>
      </c>
      <c r="R708" s="11" t="n">
        <f aca="false">P708-Q708</f>
        <v>251500</v>
      </c>
      <c r="S708" s="11" t="n">
        <f aca="false">IF(Calculator!$B$6="Yes",MIN(Q708,'Tax Tables'!$B$31*'Tax Tables'!$B$32),0)</f>
        <v>96000</v>
      </c>
      <c r="T708" s="11" t="n">
        <f aca="false">S708*Calculator!$B$7</f>
        <v>19200</v>
      </c>
      <c r="U708" s="11" t="n">
        <f aca="false">S708*Calculator!$B$8</f>
        <v>16320</v>
      </c>
      <c r="V708" s="11" t="n">
        <f aca="false">IF(Q708&gt;0,'Tax Tables'!$B$32*MIN(MAX(Q708/'Tax Tables'!$B$32*'Tax Tables'!$B$33,'Tax Tables'!$B$34),'Tax Tables'!$B$35),0)</f>
        <v>135</v>
      </c>
      <c r="W708" s="11" t="n">
        <f aca="false">Calculator!$B$5-P708-U708-V708</f>
        <v>36045</v>
      </c>
      <c r="X708" s="11" t="n">
        <f aca="false">'Tax Tables'!$B$22*(MAX(W708,0)-IF(Calculator!$B$10="Yes",MIN(MAX(W708,0),'Tax Tables'!$B$27)*'Tax Tables'!$B$28+MIN(MAX(MAX(W708,0)-'Tax Tables'!$B$27,0),'Tax Tables'!$B$29)*'Tax Tables'!$B$30,MIN(MAX(W708,0),'Tax Tables'!$B$23)*'Tax Tables'!$B$24+MIN(MAX(MAX(W708,0)-'Tax Tables'!$B$23,0),'Tax Tables'!$B$25)*'Tax Tables'!$B$26))*1-MIN('Tax Tables'!$B$22*(MAX(W708,0)-IF(Calculator!$B$10="Yes",MIN(MAX(W708,0),'Tax Tables'!$B$27)*'Tax Tables'!$B$28+MIN(MAX(MAX(W708,0)-'Tax Tables'!$B$27,0),'Tax Tables'!$B$29)*'Tax Tables'!$B$30,MIN(MAX(W708,0),'Tax Tables'!$B$23)*'Tax Tables'!$B$24+MIN(MAX(MAX(W708,0)-'Tax Tables'!$B$23,0),'Tax Tables'!$B$25)*'Tax Tables'!$B$26))*Calculator!$B$11,Calculator!$B$12)</f>
        <v>2638.825</v>
      </c>
      <c r="Y708" s="11" t="n">
        <f aca="false">MAX(W708,0)-X708</f>
        <v>33406.175</v>
      </c>
      <c r="Z708" s="11" t="n">
        <f aca="false">MIN(IF(P708&gt;0,Calculator!$B$13,0)+T708+Calculator!$B$14,'Tax Tables'!$B$36)</f>
        <v>20200</v>
      </c>
      <c r="AA708" s="11" t="n">
        <f aca="false">MAX(P708-Z708,0)</f>
        <v>327300</v>
      </c>
      <c r="AB708" s="11" t="n">
        <f aca="false">SUMPRODUCT((AA708&gt;'Tax Tables'!$A$5:$A$17)*(AA708-'Tax Tables'!$A$5:$A$17)*'Tax Tables'!$C$5:$C$17)</f>
        <v>46156</v>
      </c>
      <c r="AC708" s="11" t="n">
        <f aca="false">IF(W708&lt;0,-1E+099,P708-T708-AB708+Y708+(T708+U708)*Calculator!$B$9)</f>
        <v>351070.175</v>
      </c>
    </row>
    <row r="709" customFormat="false" ht="15" hidden="false" customHeight="false" outlineLevel="0" collapsed="false">
      <c r="A709" s="11" t="n">
        <f aca="false">696*$B$3</f>
        <v>348000</v>
      </c>
      <c r="B709" s="11" t="n">
        <f aca="false">0</f>
        <v>0</v>
      </c>
      <c r="C709" s="11" t="n">
        <f aca="false">A709-B709</f>
        <v>348000</v>
      </c>
      <c r="D709" s="11" t="n">
        <f aca="false">IF(Calculator!$B$6="Yes",MIN(B709,'Tax Tables'!$B$31*'Tax Tables'!$B$32),0)</f>
        <v>0</v>
      </c>
      <c r="E709" s="11" t="n">
        <f aca="false">D709*Calculator!$B$7</f>
        <v>0</v>
      </c>
      <c r="F709" s="11" t="n">
        <f aca="false">D709*Calculator!$B$8</f>
        <v>0</v>
      </c>
      <c r="G709" s="11" t="n">
        <f aca="false">IF(B709&gt;0,'Tax Tables'!$B$32*MIN(MAX(B709/'Tax Tables'!$B$32*'Tax Tables'!$B$33,'Tax Tables'!$B$34),'Tax Tables'!$B$35),0)</f>
        <v>0</v>
      </c>
      <c r="H709" s="11" t="n">
        <f aca="false">Calculator!$B$5-A709-F709-G709</f>
        <v>52000</v>
      </c>
      <c r="I709" s="11" t="n">
        <f aca="false">'Tax Tables'!$B$22*(MAX(H709,0)-IF(Calculator!$B$10="Yes",MIN(MAX(H709,0),'Tax Tables'!$B$27)*'Tax Tables'!$B$28+MIN(MAX(MAX(H709,0)-'Tax Tables'!$B$27,0),'Tax Tables'!$B$29)*'Tax Tables'!$B$30,MIN(MAX(H709,0),'Tax Tables'!$B$23)*'Tax Tables'!$B$24+MIN(MAX(MAX(H709,0)-'Tax Tables'!$B$23,0),'Tax Tables'!$B$25)*'Tax Tables'!$B$26))*1-MIN('Tax Tables'!$B$22*(MAX(H709,0)-IF(Calculator!$B$10="Yes",MIN(MAX(H709,0),'Tax Tables'!$B$27)*'Tax Tables'!$B$28+MIN(MAX(MAX(H709,0)-'Tax Tables'!$B$27,0),'Tax Tables'!$B$29)*'Tax Tables'!$B$30,MIN(MAX(H709,0),'Tax Tables'!$B$23)*'Tax Tables'!$B$24+MIN(MAX(MAX(H709,0)-'Tax Tables'!$B$23,0),'Tax Tables'!$B$25)*'Tax Tables'!$B$26))*Calculator!$B$11,Calculator!$B$12)</f>
        <v>3995</v>
      </c>
      <c r="J709" s="11" t="n">
        <f aca="false">MAX(H709,0)-I709</f>
        <v>48005</v>
      </c>
      <c r="K709" s="11" t="n">
        <f aca="false">MIN(IF(A709&gt;0,Calculator!$B$13,0)+E709+Calculator!$B$14,'Tax Tables'!$B$36)</f>
        <v>1000</v>
      </c>
      <c r="L709" s="11" t="n">
        <f aca="false">MAX(A709-K709,0)</f>
        <v>347000</v>
      </c>
      <c r="M709" s="11" t="n">
        <f aca="false">SUMPRODUCT((L709&gt;'Tax Tables'!$A$5:$A$17)*(L709-'Tax Tables'!$A$5:$A$17)*'Tax Tables'!$C$5:$C$17)</f>
        <v>50490</v>
      </c>
      <c r="N709" s="11" t="n">
        <f aca="false">IF(H709&lt;0,-1E+099,A709-E709-M709+J709+(E709+F709)*Calculator!$B$9)</f>
        <v>345515</v>
      </c>
      <c r="O709" s="2"/>
      <c r="P709" s="11" t="n">
        <f aca="false">696*$B$3</f>
        <v>348000</v>
      </c>
      <c r="Q709" s="11" t="n">
        <f aca="false">MIN(P709,'Tax Tables'!$B$31*'Tax Tables'!$B$32)</f>
        <v>96000</v>
      </c>
      <c r="R709" s="11" t="n">
        <f aca="false">P709-Q709</f>
        <v>252000</v>
      </c>
      <c r="S709" s="11" t="n">
        <f aca="false">IF(Calculator!$B$6="Yes",MIN(Q709,'Tax Tables'!$B$31*'Tax Tables'!$B$32),0)</f>
        <v>96000</v>
      </c>
      <c r="T709" s="11" t="n">
        <f aca="false">S709*Calculator!$B$7</f>
        <v>19200</v>
      </c>
      <c r="U709" s="11" t="n">
        <f aca="false">S709*Calculator!$B$8</f>
        <v>16320</v>
      </c>
      <c r="V709" s="11" t="n">
        <f aca="false">IF(Q709&gt;0,'Tax Tables'!$B$32*MIN(MAX(Q709/'Tax Tables'!$B$32*'Tax Tables'!$B$33,'Tax Tables'!$B$34),'Tax Tables'!$B$35),0)</f>
        <v>135</v>
      </c>
      <c r="W709" s="11" t="n">
        <f aca="false">Calculator!$B$5-P709-U709-V709</f>
        <v>35545</v>
      </c>
      <c r="X709" s="11" t="n">
        <f aca="false">'Tax Tables'!$B$22*(MAX(W709,0)-IF(Calculator!$B$10="Yes",MIN(MAX(W709,0),'Tax Tables'!$B$27)*'Tax Tables'!$B$28+MIN(MAX(MAX(W709,0)-'Tax Tables'!$B$27,0),'Tax Tables'!$B$29)*'Tax Tables'!$B$30,MIN(MAX(W709,0),'Tax Tables'!$B$23)*'Tax Tables'!$B$24+MIN(MAX(MAX(W709,0)-'Tax Tables'!$B$23,0),'Tax Tables'!$B$25)*'Tax Tables'!$B$26))*1-MIN('Tax Tables'!$B$22*(MAX(W709,0)-IF(Calculator!$B$10="Yes",MIN(MAX(W709,0),'Tax Tables'!$B$27)*'Tax Tables'!$B$28+MIN(MAX(MAX(W709,0)-'Tax Tables'!$B$27,0),'Tax Tables'!$B$29)*'Tax Tables'!$B$30,MIN(MAX(W709,0),'Tax Tables'!$B$23)*'Tax Tables'!$B$24+MIN(MAX(MAX(W709,0)-'Tax Tables'!$B$23,0),'Tax Tables'!$B$25)*'Tax Tables'!$B$26))*Calculator!$B$11,Calculator!$B$12)</f>
        <v>2596.325</v>
      </c>
      <c r="Y709" s="11" t="n">
        <f aca="false">MAX(W709,0)-X709</f>
        <v>32948.675</v>
      </c>
      <c r="Z709" s="11" t="n">
        <f aca="false">MIN(IF(P709&gt;0,Calculator!$B$13,0)+T709+Calculator!$B$14,'Tax Tables'!$B$36)</f>
        <v>20200</v>
      </c>
      <c r="AA709" s="11" t="n">
        <f aca="false">MAX(P709-Z709,0)</f>
        <v>327800</v>
      </c>
      <c r="AB709" s="11" t="n">
        <f aca="false">SUMPRODUCT((AA709&gt;'Tax Tables'!$A$5:$A$17)*(AA709-'Tax Tables'!$A$5:$A$17)*'Tax Tables'!$C$5:$C$17)</f>
        <v>46266</v>
      </c>
      <c r="AC709" s="11" t="n">
        <f aca="false">IF(W709&lt;0,-1E+099,P709-T709-AB709+Y709+(T709+U709)*Calculator!$B$9)</f>
        <v>351002.675</v>
      </c>
    </row>
    <row r="710" customFormat="false" ht="15" hidden="false" customHeight="false" outlineLevel="0" collapsed="false">
      <c r="A710" s="11" t="n">
        <f aca="false">697*$B$3</f>
        <v>348500</v>
      </c>
      <c r="B710" s="11" t="n">
        <f aca="false">0</f>
        <v>0</v>
      </c>
      <c r="C710" s="11" t="n">
        <f aca="false">A710-B710</f>
        <v>348500</v>
      </c>
      <c r="D710" s="11" t="n">
        <f aca="false">IF(Calculator!$B$6="Yes",MIN(B710,'Tax Tables'!$B$31*'Tax Tables'!$B$32),0)</f>
        <v>0</v>
      </c>
      <c r="E710" s="11" t="n">
        <f aca="false">D710*Calculator!$B$7</f>
        <v>0</v>
      </c>
      <c r="F710" s="11" t="n">
        <f aca="false">D710*Calculator!$B$8</f>
        <v>0</v>
      </c>
      <c r="G710" s="11" t="n">
        <f aca="false">IF(B710&gt;0,'Tax Tables'!$B$32*MIN(MAX(B710/'Tax Tables'!$B$32*'Tax Tables'!$B$33,'Tax Tables'!$B$34),'Tax Tables'!$B$35),0)</f>
        <v>0</v>
      </c>
      <c r="H710" s="11" t="n">
        <f aca="false">Calculator!$B$5-A710-F710-G710</f>
        <v>51500</v>
      </c>
      <c r="I710" s="11" t="n">
        <f aca="false">'Tax Tables'!$B$22*(MAX(H710,0)-IF(Calculator!$B$10="Yes",MIN(MAX(H710,0),'Tax Tables'!$B$27)*'Tax Tables'!$B$28+MIN(MAX(MAX(H710,0)-'Tax Tables'!$B$27,0),'Tax Tables'!$B$29)*'Tax Tables'!$B$30,MIN(MAX(H710,0),'Tax Tables'!$B$23)*'Tax Tables'!$B$24+MIN(MAX(MAX(H710,0)-'Tax Tables'!$B$23,0),'Tax Tables'!$B$25)*'Tax Tables'!$B$26))*1-MIN('Tax Tables'!$B$22*(MAX(H710,0)-IF(Calculator!$B$10="Yes",MIN(MAX(H710,0),'Tax Tables'!$B$27)*'Tax Tables'!$B$28+MIN(MAX(MAX(H710,0)-'Tax Tables'!$B$27,0),'Tax Tables'!$B$29)*'Tax Tables'!$B$30,MIN(MAX(H710,0),'Tax Tables'!$B$23)*'Tax Tables'!$B$24+MIN(MAX(MAX(H710,0)-'Tax Tables'!$B$23,0),'Tax Tables'!$B$25)*'Tax Tables'!$B$26))*Calculator!$B$11,Calculator!$B$12)</f>
        <v>3952.5</v>
      </c>
      <c r="J710" s="11" t="n">
        <f aca="false">MAX(H710,0)-I710</f>
        <v>47547.5</v>
      </c>
      <c r="K710" s="11" t="n">
        <f aca="false">MIN(IF(A710&gt;0,Calculator!$B$13,0)+E710+Calculator!$B$14,'Tax Tables'!$B$36)</f>
        <v>1000</v>
      </c>
      <c r="L710" s="11" t="n">
        <f aca="false">MAX(A710-K710,0)</f>
        <v>347500</v>
      </c>
      <c r="M710" s="11" t="n">
        <f aca="false">SUMPRODUCT((L710&gt;'Tax Tables'!$A$5:$A$17)*(L710-'Tax Tables'!$A$5:$A$17)*'Tax Tables'!$C$5:$C$17)</f>
        <v>50600</v>
      </c>
      <c r="N710" s="11" t="n">
        <f aca="false">IF(H710&lt;0,-1E+099,A710-E710-M710+J710+(E710+F710)*Calculator!$B$9)</f>
        <v>345447.5</v>
      </c>
      <c r="O710" s="2"/>
      <c r="P710" s="11" t="n">
        <f aca="false">697*$B$3</f>
        <v>348500</v>
      </c>
      <c r="Q710" s="11" t="n">
        <f aca="false">MIN(P710,'Tax Tables'!$B$31*'Tax Tables'!$B$32)</f>
        <v>96000</v>
      </c>
      <c r="R710" s="11" t="n">
        <f aca="false">P710-Q710</f>
        <v>252500</v>
      </c>
      <c r="S710" s="11" t="n">
        <f aca="false">IF(Calculator!$B$6="Yes",MIN(Q710,'Tax Tables'!$B$31*'Tax Tables'!$B$32),0)</f>
        <v>96000</v>
      </c>
      <c r="T710" s="11" t="n">
        <f aca="false">S710*Calculator!$B$7</f>
        <v>19200</v>
      </c>
      <c r="U710" s="11" t="n">
        <f aca="false">S710*Calculator!$B$8</f>
        <v>16320</v>
      </c>
      <c r="V710" s="11" t="n">
        <f aca="false">IF(Q710&gt;0,'Tax Tables'!$B$32*MIN(MAX(Q710/'Tax Tables'!$B$32*'Tax Tables'!$B$33,'Tax Tables'!$B$34),'Tax Tables'!$B$35),0)</f>
        <v>135</v>
      </c>
      <c r="W710" s="11" t="n">
        <f aca="false">Calculator!$B$5-P710-U710-V710</f>
        <v>35045</v>
      </c>
      <c r="X710" s="11" t="n">
        <f aca="false">'Tax Tables'!$B$22*(MAX(W710,0)-IF(Calculator!$B$10="Yes",MIN(MAX(W710,0),'Tax Tables'!$B$27)*'Tax Tables'!$B$28+MIN(MAX(MAX(W710,0)-'Tax Tables'!$B$27,0),'Tax Tables'!$B$29)*'Tax Tables'!$B$30,MIN(MAX(W710,0),'Tax Tables'!$B$23)*'Tax Tables'!$B$24+MIN(MAX(MAX(W710,0)-'Tax Tables'!$B$23,0),'Tax Tables'!$B$25)*'Tax Tables'!$B$26))*1-MIN('Tax Tables'!$B$22*(MAX(W710,0)-IF(Calculator!$B$10="Yes",MIN(MAX(W710,0),'Tax Tables'!$B$27)*'Tax Tables'!$B$28+MIN(MAX(MAX(W710,0)-'Tax Tables'!$B$27,0),'Tax Tables'!$B$29)*'Tax Tables'!$B$30,MIN(MAX(W710,0),'Tax Tables'!$B$23)*'Tax Tables'!$B$24+MIN(MAX(MAX(W710,0)-'Tax Tables'!$B$23,0),'Tax Tables'!$B$25)*'Tax Tables'!$B$26))*Calculator!$B$11,Calculator!$B$12)</f>
        <v>2553.825</v>
      </c>
      <c r="Y710" s="11" t="n">
        <f aca="false">MAX(W710,0)-X710</f>
        <v>32491.175</v>
      </c>
      <c r="Z710" s="11" t="n">
        <f aca="false">MIN(IF(P710&gt;0,Calculator!$B$13,0)+T710+Calculator!$B$14,'Tax Tables'!$B$36)</f>
        <v>20200</v>
      </c>
      <c r="AA710" s="11" t="n">
        <f aca="false">MAX(P710-Z710,0)</f>
        <v>328300</v>
      </c>
      <c r="AB710" s="11" t="n">
        <f aca="false">SUMPRODUCT((AA710&gt;'Tax Tables'!$A$5:$A$17)*(AA710-'Tax Tables'!$A$5:$A$17)*'Tax Tables'!$C$5:$C$17)</f>
        <v>46376</v>
      </c>
      <c r="AC710" s="11" t="n">
        <f aca="false">IF(W710&lt;0,-1E+099,P710-T710-AB710+Y710+(T710+U710)*Calculator!$B$9)</f>
        <v>350935.175</v>
      </c>
    </row>
    <row r="711" customFormat="false" ht="15" hidden="false" customHeight="false" outlineLevel="0" collapsed="false">
      <c r="A711" s="11" t="n">
        <f aca="false">698*$B$3</f>
        <v>349000</v>
      </c>
      <c r="B711" s="11" t="n">
        <f aca="false">0</f>
        <v>0</v>
      </c>
      <c r="C711" s="11" t="n">
        <f aca="false">A711-B711</f>
        <v>349000</v>
      </c>
      <c r="D711" s="11" t="n">
        <f aca="false">IF(Calculator!$B$6="Yes",MIN(B711,'Tax Tables'!$B$31*'Tax Tables'!$B$32),0)</f>
        <v>0</v>
      </c>
      <c r="E711" s="11" t="n">
        <f aca="false">D711*Calculator!$B$7</f>
        <v>0</v>
      </c>
      <c r="F711" s="11" t="n">
        <f aca="false">D711*Calculator!$B$8</f>
        <v>0</v>
      </c>
      <c r="G711" s="11" t="n">
        <f aca="false">IF(B711&gt;0,'Tax Tables'!$B$32*MIN(MAX(B711/'Tax Tables'!$B$32*'Tax Tables'!$B$33,'Tax Tables'!$B$34),'Tax Tables'!$B$35),0)</f>
        <v>0</v>
      </c>
      <c r="H711" s="11" t="n">
        <f aca="false">Calculator!$B$5-A711-F711-G711</f>
        <v>51000</v>
      </c>
      <c r="I711" s="11" t="n">
        <f aca="false">'Tax Tables'!$B$22*(MAX(H711,0)-IF(Calculator!$B$10="Yes",MIN(MAX(H711,0),'Tax Tables'!$B$27)*'Tax Tables'!$B$28+MIN(MAX(MAX(H711,0)-'Tax Tables'!$B$27,0),'Tax Tables'!$B$29)*'Tax Tables'!$B$30,MIN(MAX(H711,0),'Tax Tables'!$B$23)*'Tax Tables'!$B$24+MIN(MAX(MAX(H711,0)-'Tax Tables'!$B$23,0),'Tax Tables'!$B$25)*'Tax Tables'!$B$26))*1-MIN('Tax Tables'!$B$22*(MAX(H711,0)-IF(Calculator!$B$10="Yes",MIN(MAX(H711,0),'Tax Tables'!$B$27)*'Tax Tables'!$B$28+MIN(MAX(MAX(H711,0)-'Tax Tables'!$B$27,0),'Tax Tables'!$B$29)*'Tax Tables'!$B$30,MIN(MAX(H711,0),'Tax Tables'!$B$23)*'Tax Tables'!$B$24+MIN(MAX(MAX(H711,0)-'Tax Tables'!$B$23,0),'Tax Tables'!$B$25)*'Tax Tables'!$B$26))*Calculator!$B$11,Calculator!$B$12)</f>
        <v>3910</v>
      </c>
      <c r="J711" s="11" t="n">
        <f aca="false">MAX(H711,0)-I711</f>
        <v>47090</v>
      </c>
      <c r="K711" s="11" t="n">
        <f aca="false">MIN(IF(A711&gt;0,Calculator!$B$13,0)+E711+Calculator!$B$14,'Tax Tables'!$B$36)</f>
        <v>1000</v>
      </c>
      <c r="L711" s="11" t="n">
        <f aca="false">MAX(A711-K711,0)</f>
        <v>348000</v>
      </c>
      <c r="M711" s="11" t="n">
        <f aca="false">SUMPRODUCT((L711&gt;'Tax Tables'!$A$5:$A$17)*(L711-'Tax Tables'!$A$5:$A$17)*'Tax Tables'!$C$5:$C$17)</f>
        <v>50710</v>
      </c>
      <c r="N711" s="11" t="n">
        <f aca="false">IF(H711&lt;0,-1E+099,A711-E711-M711+J711+(E711+F711)*Calculator!$B$9)</f>
        <v>345380</v>
      </c>
      <c r="O711" s="2"/>
      <c r="P711" s="11" t="n">
        <f aca="false">698*$B$3</f>
        <v>349000</v>
      </c>
      <c r="Q711" s="11" t="n">
        <f aca="false">MIN(P711,'Tax Tables'!$B$31*'Tax Tables'!$B$32)</f>
        <v>96000</v>
      </c>
      <c r="R711" s="11" t="n">
        <f aca="false">P711-Q711</f>
        <v>253000</v>
      </c>
      <c r="S711" s="11" t="n">
        <f aca="false">IF(Calculator!$B$6="Yes",MIN(Q711,'Tax Tables'!$B$31*'Tax Tables'!$B$32),0)</f>
        <v>96000</v>
      </c>
      <c r="T711" s="11" t="n">
        <f aca="false">S711*Calculator!$B$7</f>
        <v>19200</v>
      </c>
      <c r="U711" s="11" t="n">
        <f aca="false">S711*Calculator!$B$8</f>
        <v>16320</v>
      </c>
      <c r="V711" s="11" t="n">
        <f aca="false">IF(Q711&gt;0,'Tax Tables'!$B$32*MIN(MAX(Q711/'Tax Tables'!$B$32*'Tax Tables'!$B$33,'Tax Tables'!$B$34),'Tax Tables'!$B$35),0)</f>
        <v>135</v>
      </c>
      <c r="W711" s="11" t="n">
        <f aca="false">Calculator!$B$5-P711-U711-V711</f>
        <v>34545</v>
      </c>
      <c r="X711" s="11" t="n">
        <f aca="false">'Tax Tables'!$B$22*(MAX(W711,0)-IF(Calculator!$B$10="Yes",MIN(MAX(W711,0),'Tax Tables'!$B$27)*'Tax Tables'!$B$28+MIN(MAX(MAX(W711,0)-'Tax Tables'!$B$27,0),'Tax Tables'!$B$29)*'Tax Tables'!$B$30,MIN(MAX(W711,0),'Tax Tables'!$B$23)*'Tax Tables'!$B$24+MIN(MAX(MAX(W711,0)-'Tax Tables'!$B$23,0),'Tax Tables'!$B$25)*'Tax Tables'!$B$26))*1-MIN('Tax Tables'!$B$22*(MAX(W711,0)-IF(Calculator!$B$10="Yes",MIN(MAX(W711,0),'Tax Tables'!$B$27)*'Tax Tables'!$B$28+MIN(MAX(MAX(W711,0)-'Tax Tables'!$B$27,0),'Tax Tables'!$B$29)*'Tax Tables'!$B$30,MIN(MAX(W711,0),'Tax Tables'!$B$23)*'Tax Tables'!$B$24+MIN(MAX(MAX(W711,0)-'Tax Tables'!$B$23,0),'Tax Tables'!$B$25)*'Tax Tables'!$B$26))*Calculator!$B$11,Calculator!$B$12)</f>
        <v>2511.325</v>
      </c>
      <c r="Y711" s="11" t="n">
        <f aca="false">MAX(W711,0)-X711</f>
        <v>32033.675</v>
      </c>
      <c r="Z711" s="11" t="n">
        <f aca="false">MIN(IF(P711&gt;0,Calculator!$B$13,0)+T711+Calculator!$B$14,'Tax Tables'!$B$36)</f>
        <v>20200</v>
      </c>
      <c r="AA711" s="11" t="n">
        <f aca="false">MAX(P711-Z711,0)</f>
        <v>328800</v>
      </c>
      <c r="AB711" s="11" t="n">
        <f aca="false">SUMPRODUCT((AA711&gt;'Tax Tables'!$A$5:$A$17)*(AA711-'Tax Tables'!$A$5:$A$17)*'Tax Tables'!$C$5:$C$17)</f>
        <v>46486</v>
      </c>
      <c r="AC711" s="11" t="n">
        <f aca="false">IF(W711&lt;0,-1E+099,P711-T711-AB711+Y711+(T711+U711)*Calculator!$B$9)</f>
        <v>350867.675</v>
      </c>
    </row>
    <row r="712" customFormat="false" ht="15" hidden="false" customHeight="false" outlineLevel="0" collapsed="false">
      <c r="A712" s="11" t="n">
        <f aca="false">699*$B$3</f>
        <v>349500</v>
      </c>
      <c r="B712" s="11" t="n">
        <f aca="false">0</f>
        <v>0</v>
      </c>
      <c r="C712" s="11" t="n">
        <f aca="false">A712-B712</f>
        <v>349500</v>
      </c>
      <c r="D712" s="11" t="n">
        <f aca="false">IF(Calculator!$B$6="Yes",MIN(B712,'Tax Tables'!$B$31*'Tax Tables'!$B$32),0)</f>
        <v>0</v>
      </c>
      <c r="E712" s="11" t="n">
        <f aca="false">D712*Calculator!$B$7</f>
        <v>0</v>
      </c>
      <c r="F712" s="11" t="n">
        <f aca="false">D712*Calculator!$B$8</f>
        <v>0</v>
      </c>
      <c r="G712" s="11" t="n">
        <f aca="false">IF(B712&gt;0,'Tax Tables'!$B$32*MIN(MAX(B712/'Tax Tables'!$B$32*'Tax Tables'!$B$33,'Tax Tables'!$B$34),'Tax Tables'!$B$35),0)</f>
        <v>0</v>
      </c>
      <c r="H712" s="11" t="n">
        <f aca="false">Calculator!$B$5-A712-F712-G712</f>
        <v>50500</v>
      </c>
      <c r="I712" s="11" t="n">
        <f aca="false">'Tax Tables'!$B$22*(MAX(H712,0)-IF(Calculator!$B$10="Yes",MIN(MAX(H712,0),'Tax Tables'!$B$27)*'Tax Tables'!$B$28+MIN(MAX(MAX(H712,0)-'Tax Tables'!$B$27,0),'Tax Tables'!$B$29)*'Tax Tables'!$B$30,MIN(MAX(H712,0),'Tax Tables'!$B$23)*'Tax Tables'!$B$24+MIN(MAX(MAX(H712,0)-'Tax Tables'!$B$23,0),'Tax Tables'!$B$25)*'Tax Tables'!$B$26))*1-MIN('Tax Tables'!$B$22*(MAX(H712,0)-IF(Calculator!$B$10="Yes",MIN(MAX(H712,0),'Tax Tables'!$B$27)*'Tax Tables'!$B$28+MIN(MAX(MAX(H712,0)-'Tax Tables'!$B$27,0),'Tax Tables'!$B$29)*'Tax Tables'!$B$30,MIN(MAX(H712,0),'Tax Tables'!$B$23)*'Tax Tables'!$B$24+MIN(MAX(MAX(H712,0)-'Tax Tables'!$B$23,0),'Tax Tables'!$B$25)*'Tax Tables'!$B$26))*Calculator!$B$11,Calculator!$B$12)</f>
        <v>3867.5</v>
      </c>
      <c r="J712" s="11" t="n">
        <f aca="false">MAX(H712,0)-I712</f>
        <v>46632.5</v>
      </c>
      <c r="K712" s="11" t="n">
        <f aca="false">MIN(IF(A712&gt;0,Calculator!$B$13,0)+E712+Calculator!$B$14,'Tax Tables'!$B$36)</f>
        <v>1000</v>
      </c>
      <c r="L712" s="11" t="n">
        <f aca="false">MAX(A712-K712,0)</f>
        <v>348500</v>
      </c>
      <c r="M712" s="11" t="n">
        <f aca="false">SUMPRODUCT((L712&gt;'Tax Tables'!$A$5:$A$17)*(L712-'Tax Tables'!$A$5:$A$17)*'Tax Tables'!$C$5:$C$17)</f>
        <v>50820</v>
      </c>
      <c r="N712" s="11" t="n">
        <f aca="false">IF(H712&lt;0,-1E+099,A712-E712-M712+J712+(E712+F712)*Calculator!$B$9)</f>
        <v>345312.5</v>
      </c>
      <c r="O712" s="2"/>
      <c r="P712" s="11" t="n">
        <f aca="false">699*$B$3</f>
        <v>349500</v>
      </c>
      <c r="Q712" s="11" t="n">
        <f aca="false">MIN(P712,'Tax Tables'!$B$31*'Tax Tables'!$B$32)</f>
        <v>96000</v>
      </c>
      <c r="R712" s="11" t="n">
        <f aca="false">P712-Q712</f>
        <v>253500</v>
      </c>
      <c r="S712" s="11" t="n">
        <f aca="false">IF(Calculator!$B$6="Yes",MIN(Q712,'Tax Tables'!$B$31*'Tax Tables'!$B$32),0)</f>
        <v>96000</v>
      </c>
      <c r="T712" s="11" t="n">
        <f aca="false">S712*Calculator!$B$7</f>
        <v>19200</v>
      </c>
      <c r="U712" s="11" t="n">
        <f aca="false">S712*Calculator!$B$8</f>
        <v>16320</v>
      </c>
      <c r="V712" s="11" t="n">
        <f aca="false">IF(Q712&gt;0,'Tax Tables'!$B$32*MIN(MAX(Q712/'Tax Tables'!$B$32*'Tax Tables'!$B$33,'Tax Tables'!$B$34),'Tax Tables'!$B$35),0)</f>
        <v>135</v>
      </c>
      <c r="W712" s="11" t="n">
        <f aca="false">Calculator!$B$5-P712-U712-V712</f>
        <v>34045</v>
      </c>
      <c r="X712" s="11" t="n">
        <f aca="false">'Tax Tables'!$B$22*(MAX(W712,0)-IF(Calculator!$B$10="Yes",MIN(MAX(W712,0),'Tax Tables'!$B$27)*'Tax Tables'!$B$28+MIN(MAX(MAX(W712,0)-'Tax Tables'!$B$27,0),'Tax Tables'!$B$29)*'Tax Tables'!$B$30,MIN(MAX(W712,0),'Tax Tables'!$B$23)*'Tax Tables'!$B$24+MIN(MAX(MAX(W712,0)-'Tax Tables'!$B$23,0),'Tax Tables'!$B$25)*'Tax Tables'!$B$26))*1-MIN('Tax Tables'!$B$22*(MAX(W712,0)-IF(Calculator!$B$10="Yes",MIN(MAX(W712,0),'Tax Tables'!$B$27)*'Tax Tables'!$B$28+MIN(MAX(MAX(W712,0)-'Tax Tables'!$B$27,0),'Tax Tables'!$B$29)*'Tax Tables'!$B$30,MIN(MAX(W712,0),'Tax Tables'!$B$23)*'Tax Tables'!$B$24+MIN(MAX(MAX(W712,0)-'Tax Tables'!$B$23,0),'Tax Tables'!$B$25)*'Tax Tables'!$B$26))*Calculator!$B$11,Calculator!$B$12)</f>
        <v>2468.825</v>
      </c>
      <c r="Y712" s="11" t="n">
        <f aca="false">MAX(W712,0)-X712</f>
        <v>31576.175</v>
      </c>
      <c r="Z712" s="11" t="n">
        <f aca="false">MIN(IF(P712&gt;0,Calculator!$B$13,0)+T712+Calculator!$B$14,'Tax Tables'!$B$36)</f>
        <v>20200</v>
      </c>
      <c r="AA712" s="11" t="n">
        <f aca="false">MAX(P712-Z712,0)</f>
        <v>329300</v>
      </c>
      <c r="AB712" s="11" t="n">
        <f aca="false">SUMPRODUCT((AA712&gt;'Tax Tables'!$A$5:$A$17)*(AA712-'Tax Tables'!$A$5:$A$17)*'Tax Tables'!$C$5:$C$17)</f>
        <v>46596</v>
      </c>
      <c r="AC712" s="11" t="n">
        <f aca="false">IF(W712&lt;0,-1E+099,P712-T712-AB712+Y712+(T712+U712)*Calculator!$B$9)</f>
        <v>350800.175</v>
      </c>
    </row>
    <row r="713" customFormat="false" ht="15" hidden="false" customHeight="false" outlineLevel="0" collapsed="false">
      <c r="A713" s="11" t="n">
        <f aca="false">700*$B$3</f>
        <v>350000</v>
      </c>
      <c r="B713" s="11" t="n">
        <f aca="false">0</f>
        <v>0</v>
      </c>
      <c r="C713" s="11" t="n">
        <f aca="false">A713-B713</f>
        <v>350000</v>
      </c>
      <c r="D713" s="11" t="n">
        <f aca="false">IF(Calculator!$B$6="Yes",MIN(B713,'Tax Tables'!$B$31*'Tax Tables'!$B$32),0)</f>
        <v>0</v>
      </c>
      <c r="E713" s="11" t="n">
        <f aca="false">D713*Calculator!$B$7</f>
        <v>0</v>
      </c>
      <c r="F713" s="11" t="n">
        <f aca="false">D713*Calculator!$B$8</f>
        <v>0</v>
      </c>
      <c r="G713" s="11" t="n">
        <f aca="false">IF(B713&gt;0,'Tax Tables'!$B$32*MIN(MAX(B713/'Tax Tables'!$B$32*'Tax Tables'!$B$33,'Tax Tables'!$B$34),'Tax Tables'!$B$35),0)</f>
        <v>0</v>
      </c>
      <c r="H713" s="11" t="n">
        <f aca="false">Calculator!$B$5-A713-F713-G713</f>
        <v>50000</v>
      </c>
      <c r="I713" s="11" t="n">
        <f aca="false">'Tax Tables'!$B$22*(MAX(H713,0)-IF(Calculator!$B$10="Yes",MIN(MAX(H713,0),'Tax Tables'!$B$27)*'Tax Tables'!$B$28+MIN(MAX(MAX(H713,0)-'Tax Tables'!$B$27,0),'Tax Tables'!$B$29)*'Tax Tables'!$B$30,MIN(MAX(H713,0),'Tax Tables'!$B$23)*'Tax Tables'!$B$24+MIN(MAX(MAX(H713,0)-'Tax Tables'!$B$23,0),'Tax Tables'!$B$25)*'Tax Tables'!$B$26))*1-MIN('Tax Tables'!$B$22*(MAX(H713,0)-IF(Calculator!$B$10="Yes",MIN(MAX(H713,0),'Tax Tables'!$B$27)*'Tax Tables'!$B$28+MIN(MAX(MAX(H713,0)-'Tax Tables'!$B$27,0),'Tax Tables'!$B$29)*'Tax Tables'!$B$30,MIN(MAX(H713,0),'Tax Tables'!$B$23)*'Tax Tables'!$B$24+MIN(MAX(MAX(H713,0)-'Tax Tables'!$B$23,0),'Tax Tables'!$B$25)*'Tax Tables'!$B$26))*Calculator!$B$11,Calculator!$B$12)</f>
        <v>3825</v>
      </c>
      <c r="J713" s="11" t="n">
        <f aca="false">MAX(H713,0)-I713</f>
        <v>46175</v>
      </c>
      <c r="K713" s="11" t="n">
        <f aca="false">MIN(IF(A713&gt;0,Calculator!$B$13,0)+E713+Calculator!$B$14,'Tax Tables'!$B$36)</f>
        <v>1000</v>
      </c>
      <c r="L713" s="11" t="n">
        <f aca="false">MAX(A713-K713,0)</f>
        <v>349000</v>
      </c>
      <c r="M713" s="11" t="n">
        <f aca="false">SUMPRODUCT((L713&gt;'Tax Tables'!$A$5:$A$17)*(L713-'Tax Tables'!$A$5:$A$17)*'Tax Tables'!$C$5:$C$17)</f>
        <v>50930</v>
      </c>
      <c r="N713" s="11" t="n">
        <f aca="false">IF(H713&lt;0,-1E+099,A713-E713-M713+J713+(E713+F713)*Calculator!$B$9)</f>
        <v>345245</v>
      </c>
      <c r="O713" s="2"/>
      <c r="P713" s="11" t="n">
        <f aca="false">700*$B$3</f>
        <v>350000</v>
      </c>
      <c r="Q713" s="11" t="n">
        <f aca="false">MIN(P713,'Tax Tables'!$B$31*'Tax Tables'!$B$32)</f>
        <v>96000</v>
      </c>
      <c r="R713" s="11" t="n">
        <f aca="false">P713-Q713</f>
        <v>254000</v>
      </c>
      <c r="S713" s="11" t="n">
        <f aca="false">IF(Calculator!$B$6="Yes",MIN(Q713,'Tax Tables'!$B$31*'Tax Tables'!$B$32),0)</f>
        <v>96000</v>
      </c>
      <c r="T713" s="11" t="n">
        <f aca="false">S713*Calculator!$B$7</f>
        <v>19200</v>
      </c>
      <c r="U713" s="11" t="n">
        <f aca="false">S713*Calculator!$B$8</f>
        <v>16320</v>
      </c>
      <c r="V713" s="11" t="n">
        <f aca="false">IF(Q713&gt;0,'Tax Tables'!$B$32*MIN(MAX(Q713/'Tax Tables'!$B$32*'Tax Tables'!$B$33,'Tax Tables'!$B$34),'Tax Tables'!$B$35),0)</f>
        <v>135</v>
      </c>
      <c r="W713" s="11" t="n">
        <f aca="false">Calculator!$B$5-P713-U713-V713</f>
        <v>33545</v>
      </c>
      <c r="X713" s="11" t="n">
        <f aca="false">'Tax Tables'!$B$22*(MAX(W713,0)-IF(Calculator!$B$10="Yes",MIN(MAX(W713,0),'Tax Tables'!$B$27)*'Tax Tables'!$B$28+MIN(MAX(MAX(W713,0)-'Tax Tables'!$B$27,0),'Tax Tables'!$B$29)*'Tax Tables'!$B$30,MIN(MAX(W713,0),'Tax Tables'!$B$23)*'Tax Tables'!$B$24+MIN(MAX(MAX(W713,0)-'Tax Tables'!$B$23,0),'Tax Tables'!$B$25)*'Tax Tables'!$B$26))*1-MIN('Tax Tables'!$B$22*(MAX(W713,0)-IF(Calculator!$B$10="Yes",MIN(MAX(W713,0),'Tax Tables'!$B$27)*'Tax Tables'!$B$28+MIN(MAX(MAX(W713,0)-'Tax Tables'!$B$27,0),'Tax Tables'!$B$29)*'Tax Tables'!$B$30,MIN(MAX(W713,0),'Tax Tables'!$B$23)*'Tax Tables'!$B$24+MIN(MAX(MAX(W713,0)-'Tax Tables'!$B$23,0),'Tax Tables'!$B$25)*'Tax Tables'!$B$26))*Calculator!$B$11,Calculator!$B$12)</f>
        <v>2426.325</v>
      </c>
      <c r="Y713" s="11" t="n">
        <f aca="false">MAX(W713,0)-X713</f>
        <v>31118.675</v>
      </c>
      <c r="Z713" s="11" t="n">
        <f aca="false">MIN(IF(P713&gt;0,Calculator!$B$13,0)+T713+Calculator!$B$14,'Tax Tables'!$B$36)</f>
        <v>20200</v>
      </c>
      <c r="AA713" s="11" t="n">
        <f aca="false">MAX(P713-Z713,0)</f>
        <v>329800</v>
      </c>
      <c r="AB713" s="11" t="n">
        <f aca="false">SUMPRODUCT((AA713&gt;'Tax Tables'!$A$5:$A$17)*(AA713-'Tax Tables'!$A$5:$A$17)*'Tax Tables'!$C$5:$C$17)</f>
        <v>46706</v>
      </c>
      <c r="AC713" s="11" t="n">
        <f aca="false">IF(W713&lt;0,-1E+099,P713-T713-AB713+Y713+(T713+U713)*Calculator!$B$9)</f>
        <v>350732.675</v>
      </c>
    </row>
    <row r="714" customFormat="false" ht="15" hidden="false" customHeight="false" outlineLevel="0" collapsed="false">
      <c r="A714" s="11" t="n">
        <f aca="false">701*$B$3</f>
        <v>350500</v>
      </c>
      <c r="B714" s="11" t="n">
        <f aca="false">0</f>
        <v>0</v>
      </c>
      <c r="C714" s="11" t="n">
        <f aca="false">A714-B714</f>
        <v>350500</v>
      </c>
      <c r="D714" s="11" t="n">
        <f aca="false">IF(Calculator!$B$6="Yes",MIN(B714,'Tax Tables'!$B$31*'Tax Tables'!$B$32),0)</f>
        <v>0</v>
      </c>
      <c r="E714" s="11" t="n">
        <f aca="false">D714*Calculator!$B$7</f>
        <v>0</v>
      </c>
      <c r="F714" s="11" t="n">
        <f aca="false">D714*Calculator!$B$8</f>
        <v>0</v>
      </c>
      <c r="G714" s="11" t="n">
        <f aca="false">IF(B714&gt;0,'Tax Tables'!$B$32*MIN(MAX(B714/'Tax Tables'!$B$32*'Tax Tables'!$B$33,'Tax Tables'!$B$34),'Tax Tables'!$B$35),0)</f>
        <v>0</v>
      </c>
      <c r="H714" s="11" t="n">
        <f aca="false">Calculator!$B$5-A714-F714-G714</f>
        <v>49500</v>
      </c>
      <c r="I714" s="11" t="n">
        <f aca="false">'Tax Tables'!$B$22*(MAX(H714,0)-IF(Calculator!$B$10="Yes",MIN(MAX(H714,0),'Tax Tables'!$B$27)*'Tax Tables'!$B$28+MIN(MAX(MAX(H714,0)-'Tax Tables'!$B$27,0),'Tax Tables'!$B$29)*'Tax Tables'!$B$30,MIN(MAX(H714,0),'Tax Tables'!$B$23)*'Tax Tables'!$B$24+MIN(MAX(MAX(H714,0)-'Tax Tables'!$B$23,0),'Tax Tables'!$B$25)*'Tax Tables'!$B$26))*1-MIN('Tax Tables'!$B$22*(MAX(H714,0)-IF(Calculator!$B$10="Yes",MIN(MAX(H714,0),'Tax Tables'!$B$27)*'Tax Tables'!$B$28+MIN(MAX(MAX(H714,0)-'Tax Tables'!$B$27,0),'Tax Tables'!$B$29)*'Tax Tables'!$B$30,MIN(MAX(H714,0),'Tax Tables'!$B$23)*'Tax Tables'!$B$24+MIN(MAX(MAX(H714,0)-'Tax Tables'!$B$23,0),'Tax Tables'!$B$25)*'Tax Tables'!$B$26))*Calculator!$B$11,Calculator!$B$12)</f>
        <v>3782.5</v>
      </c>
      <c r="J714" s="11" t="n">
        <f aca="false">MAX(H714,0)-I714</f>
        <v>45717.5</v>
      </c>
      <c r="K714" s="11" t="n">
        <f aca="false">MIN(IF(A714&gt;0,Calculator!$B$13,0)+E714+Calculator!$B$14,'Tax Tables'!$B$36)</f>
        <v>1000</v>
      </c>
      <c r="L714" s="11" t="n">
        <f aca="false">MAX(A714-K714,0)</f>
        <v>349500</v>
      </c>
      <c r="M714" s="11" t="n">
        <f aca="false">SUMPRODUCT((L714&gt;'Tax Tables'!$A$5:$A$17)*(L714-'Tax Tables'!$A$5:$A$17)*'Tax Tables'!$C$5:$C$17)</f>
        <v>51040</v>
      </c>
      <c r="N714" s="11" t="n">
        <f aca="false">IF(H714&lt;0,-1E+099,A714-E714-M714+J714+(E714+F714)*Calculator!$B$9)</f>
        <v>345177.5</v>
      </c>
      <c r="O714" s="2"/>
      <c r="P714" s="11" t="n">
        <f aca="false">701*$B$3</f>
        <v>350500</v>
      </c>
      <c r="Q714" s="11" t="n">
        <f aca="false">MIN(P714,'Tax Tables'!$B$31*'Tax Tables'!$B$32)</f>
        <v>96000</v>
      </c>
      <c r="R714" s="11" t="n">
        <f aca="false">P714-Q714</f>
        <v>254500</v>
      </c>
      <c r="S714" s="11" t="n">
        <f aca="false">IF(Calculator!$B$6="Yes",MIN(Q714,'Tax Tables'!$B$31*'Tax Tables'!$B$32),0)</f>
        <v>96000</v>
      </c>
      <c r="T714" s="11" t="n">
        <f aca="false">S714*Calculator!$B$7</f>
        <v>19200</v>
      </c>
      <c r="U714" s="11" t="n">
        <f aca="false">S714*Calculator!$B$8</f>
        <v>16320</v>
      </c>
      <c r="V714" s="11" t="n">
        <f aca="false">IF(Q714&gt;0,'Tax Tables'!$B$32*MIN(MAX(Q714/'Tax Tables'!$B$32*'Tax Tables'!$B$33,'Tax Tables'!$B$34),'Tax Tables'!$B$35),0)</f>
        <v>135</v>
      </c>
      <c r="W714" s="11" t="n">
        <f aca="false">Calculator!$B$5-P714-U714-V714</f>
        <v>33045</v>
      </c>
      <c r="X714" s="11" t="n">
        <f aca="false">'Tax Tables'!$B$22*(MAX(W714,0)-IF(Calculator!$B$10="Yes",MIN(MAX(W714,0),'Tax Tables'!$B$27)*'Tax Tables'!$B$28+MIN(MAX(MAX(W714,0)-'Tax Tables'!$B$27,0),'Tax Tables'!$B$29)*'Tax Tables'!$B$30,MIN(MAX(W714,0),'Tax Tables'!$B$23)*'Tax Tables'!$B$24+MIN(MAX(MAX(W714,0)-'Tax Tables'!$B$23,0),'Tax Tables'!$B$25)*'Tax Tables'!$B$26))*1-MIN('Tax Tables'!$B$22*(MAX(W714,0)-IF(Calculator!$B$10="Yes",MIN(MAX(W714,0),'Tax Tables'!$B$27)*'Tax Tables'!$B$28+MIN(MAX(MAX(W714,0)-'Tax Tables'!$B$27,0),'Tax Tables'!$B$29)*'Tax Tables'!$B$30,MIN(MAX(W714,0),'Tax Tables'!$B$23)*'Tax Tables'!$B$24+MIN(MAX(MAX(W714,0)-'Tax Tables'!$B$23,0),'Tax Tables'!$B$25)*'Tax Tables'!$B$26))*Calculator!$B$11,Calculator!$B$12)</f>
        <v>2383.825</v>
      </c>
      <c r="Y714" s="11" t="n">
        <f aca="false">MAX(W714,0)-X714</f>
        <v>30661.175</v>
      </c>
      <c r="Z714" s="11" t="n">
        <f aca="false">MIN(IF(P714&gt;0,Calculator!$B$13,0)+T714+Calculator!$B$14,'Tax Tables'!$B$36)</f>
        <v>20200</v>
      </c>
      <c r="AA714" s="11" t="n">
        <f aca="false">MAX(P714-Z714,0)</f>
        <v>330300</v>
      </c>
      <c r="AB714" s="11" t="n">
        <f aca="false">SUMPRODUCT((AA714&gt;'Tax Tables'!$A$5:$A$17)*(AA714-'Tax Tables'!$A$5:$A$17)*'Tax Tables'!$C$5:$C$17)</f>
        <v>46816</v>
      </c>
      <c r="AC714" s="11" t="n">
        <f aca="false">IF(W714&lt;0,-1E+099,P714-T714-AB714+Y714+(T714+U714)*Calculator!$B$9)</f>
        <v>350665.175</v>
      </c>
    </row>
    <row r="715" customFormat="false" ht="15" hidden="false" customHeight="false" outlineLevel="0" collapsed="false">
      <c r="A715" s="11" t="n">
        <f aca="false">702*$B$3</f>
        <v>351000</v>
      </c>
      <c r="B715" s="11" t="n">
        <f aca="false">0</f>
        <v>0</v>
      </c>
      <c r="C715" s="11" t="n">
        <f aca="false">A715-B715</f>
        <v>351000</v>
      </c>
      <c r="D715" s="11" t="n">
        <f aca="false">IF(Calculator!$B$6="Yes",MIN(B715,'Tax Tables'!$B$31*'Tax Tables'!$B$32),0)</f>
        <v>0</v>
      </c>
      <c r="E715" s="11" t="n">
        <f aca="false">D715*Calculator!$B$7</f>
        <v>0</v>
      </c>
      <c r="F715" s="11" t="n">
        <f aca="false">D715*Calculator!$B$8</f>
        <v>0</v>
      </c>
      <c r="G715" s="11" t="n">
        <f aca="false">IF(B715&gt;0,'Tax Tables'!$B$32*MIN(MAX(B715/'Tax Tables'!$B$32*'Tax Tables'!$B$33,'Tax Tables'!$B$34),'Tax Tables'!$B$35),0)</f>
        <v>0</v>
      </c>
      <c r="H715" s="11" t="n">
        <f aca="false">Calculator!$B$5-A715-F715-G715</f>
        <v>49000</v>
      </c>
      <c r="I715" s="11" t="n">
        <f aca="false">'Tax Tables'!$B$22*(MAX(H715,0)-IF(Calculator!$B$10="Yes",MIN(MAX(H715,0),'Tax Tables'!$B$27)*'Tax Tables'!$B$28+MIN(MAX(MAX(H715,0)-'Tax Tables'!$B$27,0),'Tax Tables'!$B$29)*'Tax Tables'!$B$30,MIN(MAX(H715,0),'Tax Tables'!$B$23)*'Tax Tables'!$B$24+MIN(MAX(MAX(H715,0)-'Tax Tables'!$B$23,0),'Tax Tables'!$B$25)*'Tax Tables'!$B$26))*1-MIN('Tax Tables'!$B$22*(MAX(H715,0)-IF(Calculator!$B$10="Yes",MIN(MAX(H715,0),'Tax Tables'!$B$27)*'Tax Tables'!$B$28+MIN(MAX(MAX(H715,0)-'Tax Tables'!$B$27,0),'Tax Tables'!$B$29)*'Tax Tables'!$B$30,MIN(MAX(H715,0),'Tax Tables'!$B$23)*'Tax Tables'!$B$24+MIN(MAX(MAX(H715,0)-'Tax Tables'!$B$23,0),'Tax Tables'!$B$25)*'Tax Tables'!$B$26))*Calculator!$B$11,Calculator!$B$12)</f>
        <v>3740</v>
      </c>
      <c r="J715" s="11" t="n">
        <f aca="false">MAX(H715,0)-I715</f>
        <v>45260</v>
      </c>
      <c r="K715" s="11" t="n">
        <f aca="false">MIN(IF(A715&gt;0,Calculator!$B$13,0)+E715+Calculator!$B$14,'Tax Tables'!$B$36)</f>
        <v>1000</v>
      </c>
      <c r="L715" s="11" t="n">
        <f aca="false">MAX(A715-K715,0)</f>
        <v>350000</v>
      </c>
      <c r="M715" s="11" t="n">
        <f aca="false">SUMPRODUCT((L715&gt;'Tax Tables'!$A$5:$A$17)*(L715-'Tax Tables'!$A$5:$A$17)*'Tax Tables'!$C$5:$C$17)</f>
        <v>51150</v>
      </c>
      <c r="N715" s="11" t="n">
        <f aca="false">IF(H715&lt;0,-1E+099,A715-E715-M715+J715+(E715+F715)*Calculator!$B$9)</f>
        <v>345110</v>
      </c>
      <c r="O715" s="2"/>
      <c r="P715" s="11" t="n">
        <f aca="false">702*$B$3</f>
        <v>351000</v>
      </c>
      <c r="Q715" s="11" t="n">
        <f aca="false">MIN(P715,'Tax Tables'!$B$31*'Tax Tables'!$B$32)</f>
        <v>96000</v>
      </c>
      <c r="R715" s="11" t="n">
        <f aca="false">P715-Q715</f>
        <v>255000</v>
      </c>
      <c r="S715" s="11" t="n">
        <f aca="false">IF(Calculator!$B$6="Yes",MIN(Q715,'Tax Tables'!$B$31*'Tax Tables'!$B$32),0)</f>
        <v>96000</v>
      </c>
      <c r="T715" s="11" t="n">
        <f aca="false">S715*Calculator!$B$7</f>
        <v>19200</v>
      </c>
      <c r="U715" s="11" t="n">
        <f aca="false">S715*Calculator!$B$8</f>
        <v>16320</v>
      </c>
      <c r="V715" s="11" t="n">
        <f aca="false">IF(Q715&gt;0,'Tax Tables'!$B$32*MIN(MAX(Q715/'Tax Tables'!$B$32*'Tax Tables'!$B$33,'Tax Tables'!$B$34),'Tax Tables'!$B$35),0)</f>
        <v>135</v>
      </c>
      <c r="W715" s="11" t="n">
        <f aca="false">Calculator!$B$5-P715-U715-V715</f>
        <v>32545</v>
      </c>
      <c r="X715" s="11" t="n">
        <f aca="false">'Tax Tables'!$B$22*(MAX(W715,0)-IF(Calculator!$B$10="Yes",MIN(MAX(W715,0),'Tax Tables'!$B$27)*'Tax Tables'!$B$28+MIN(MAX(MAX(W715,0)-'Tax Tables'!$B$27,0),'Tax Tables'!$B$29)*'Tax Tables'!$B$30,MIN(MAX(W715,0),'Tax Tables'!$B$23)*'Tax Tables'!$B$24+MIN(MAX(MAX(W715,0)-'Tax Tables'!$B$23,0),'Tax Tables'!$B$25)*'Tax Tables'!$B$26))*1-MIN('Tax Tables'!$B$22*(MAX(W715,0)-IF(Calculator!$B$10="Yes",MIN(MAX(W715,0),'Tax Tables'!$B$27)*'Tax Tables'!$B$28+MIN(MAX(MAX(W715,0)-'Tax Tables'!$B$27,0),'Tax Tables'!$B$29)*'Tax Tables'!$B$30,MIN(MAX(W715,0),'Tax Tables'!$B$23)*'Tax Tables'!$B$24+MIN(MAX(MAX(W715,0)-'Tax Tables'!$B$23,0),'Tax Tables'!$B$25)*'Tax Tables'!$B$26))*Calculator!$B$11,Calculator!$B$12)</f>
        <v>2341.325</v>
      </c>
      <c r="Y715" s="11" t="n">
        <f aca="false">MAX(W715,0)-X715</f>
        <v>30203.675</v>
      </c>
      <c r="Z715" s="11" t="n">
        <f aca="false">MIN(IF(P715&gt;0,Calculator!$B$13,0)+T715+Calculator!$B$14,'Tax Tables'!$B$36)</f>
        <v>20200</v>
      </c>
      <c r="AA715" s="11" t="n">
        <f aca="false">MAX(P715-Z715,0)</f>
        <v>330800</v>
      </c>
      <c r="AB715" s="11" t="n">
        <f aca="false">SUMPRODUCT((AA715&gt;'Tax Tables'!$A$5:$A$17)*(AA715-'Tax Tables'!$A$5:$A$17)*'Tax Tables'!$C$5:$C$17)</f>
        <v>46926</v>
      </c>
      <c r="AC715" s="11" t="n">
        <f aca="false">IF(W715&lt;0,-1E+099,P715-T715-AB715+Y715+(T715+U715)*Calculator!$B$9)</f>
        <v>350597.675</v>
      </c>
    </row>
    <row r="716" customFormat="false" ht="15" hidden="false" customHeight="false" outlineLevel="0" collapsed="false">
      <c r="A716" s="11" t="n">
        <f aca="false">703*$B$3</f>
        <v>351500</v>
      </c>
      <c r="B716" s="11" t="n">
        <f aca="false">0</f>
        <v>0</v>
      </c>
      <c r="C716" s="11" t="n">
        <f aca="false">A716-B716</f>
        <v>351500</v>
      </c>
      <c r="D716" s="11" t="n">
        <f aca="false">IF(Calculator!$B$6="Yes",MIN(B716,'Tax Tables'!$B$31*'Tax Tables'!$B$32),0)</f>
        <v>0</v>
      </c>
      <c r="E716" s="11" t="n">
        <f aca="false">D716*Calculator!$B$7</f>
        <v>0</v>
      </c>
      <c r="F716" s="11" t="n">
        <f aca="false">D716*Calculator!$B$8</f>
        <v>0</v>
      </c>
      <c r="G716" s="11" t="n">
        <f aca="false">IF(B716&gt;0,'Tax Tables'!$B$32*MIN(MAX(B716/'Tax Tables'!$B$32*'Tax Tables'!$B$33,'Tax Tables'!$B$34),'Tax Tables'!$B$35),0)</f>
        <v>0</v>
      </c>
      <c r="H716" s="11" t="n">
        <f aca="false">Calculator!$B$5-A716-F716-G716</f>
        <v>48500</v>
      </c>
      <c r="I716" s="11" t="n">
        <f aca="false">'Tax Tables'!$B$22*(MAX(H716,0)-IF(Calculator!$B$10="Yes",MIN(MAX(H716,0),'Tax Tables'!$B$27)*'Tax Tables'!$B$28+MIN(MAX(MAX(H716,0)-'Tax Tables'!$B$27,0),'Tax Tables'!$B$29)*'Tax Tables'!$B$30,MIN(MAX(H716,0),'Tax Tables'!$B$23)*'Tax Tables'!$B$24+MIN(MAX(MAX(H716,0)-'Tax Tables'!$B$23,0),'Tax Tables'!$B$25)*'Tax Tables'!$B$26))*1-MIN('Tax Tables'!$B$22*(MAX(H716,0)-IF(Calculator!$B$10="Yes",MIN(MAX(H716,0),'Tax Tables'!$B$27)*'Tax Tables'!$B$28+MIN(MAX(MAX(H716,0)-'Tax Tables'!$B$27,0),'Tax Tables'!$B$29)*'Tax Tables'!$B$30,MIN(MAX(H716,0),'Tax Tables'!$B$23)*'Tax Tables'!$B$24+MIN(MAX(MAX(H716,0)-'Tax Tables'!$B$23,0),'Tax Tables'!$B$25)*'Tax Tables'!$B$26))*Calculator!$B$11,Calculator!$B$12)</f>
        <v>3697.5</v>
      </c>
      <c r="J716" s="11" t="n">
        <f aca="false">MAX(H716,0)-I716</f>
        <v>44802.5</v>
      </c>
      <c r="K716" s="11" t="n">
        <f aca="false">MIN(IF(A716&gt;0,Calculator!$B$13,0)+E716+Calculator!$B$14,'Tax Tables'!$B$36)</f>
        <v>1000</v>
      </c>
      <c r="L716" s="11" t="n">
        <f aca="false">MAX(A716-K716,0)</f>
        <v>350500</v>
      </c>
      <c r="M716" s="11" t="n">
        <f aca="false">SUMPRODUCT((L716&gt;'Tax Tables'!$A$5:$A$17)*(L716-'Tax Tables'!$A$5:$A$17)*'Tax Tables'!$C$5:$C$17)</f>
        <v>51260</v>
      </c>
      <c r="N716" s="11" t="n">
        <f aca="false">IF(H716&lt;0,-1E+099,A716-E716-M716+J716+(E716+F716)*Calculator!$B$9)</f>
        <v>345042.5</v>
      </c>
      <c r="O716" s="2"/>
      <c r="P716" s="11" t="n">
        <f aca="false">703*$B$3</f>
        <v>351500</v>
      </c>
      <c r="Q716" s="11" t="n">
        <f aca="false">MIN(P716,'Tax Tables'!$B$31*'Tax Tables'!$B$32)</f>
        <v>96000</v>
      </c>
      <c r="R716" s="11" t="n">
        <f aca="false">P716-Q716</f>
        <v>255500</v>
      </c>
      <c r="S716" s="11" t="n">
        <f aca="false">IF(Calculator!$B$6="Yes",MIN(Q716,'Tax Tables'!$B$31*'Tax Tables'!$B$32),0)</f>
        <v>96000</v>
      </c>
      <c r="T716" s="11" t="n">
        <f aca="false">S716*Calculator!$B$7</f>
        <v>19200</v>
      </c>
      <c r="U716" s="11" t="n">
        <f aca="false">S716*Calculator!$B$8</f>
        <v>16320</v>
      </c>
      <c r="V716" s="11" t="n">
        <f aca="false">IF(Q716&gt;0,'Tax Tables'!$B$32*MIN(MAX(Q716/'Tax Tables'!$B$32*'Tax Tables'!$B$33,'Tax Tables'!$B$34),'Tax Tables'!$B$35),0)</f>
        <v>135</v>
      </c>
      <c r="W716" s="11" t="n">
        <f aca="false">Calculator!$B$5-P716-U716-V716</f>
        <v>32045</v>
      </c>
      <c r="X716" s="11" t="n">
        <f aca="false">'Tax Tables'!$B$22*(MAX(W716,0)-IF(Calculator!$B$10="Yes",MIN(MAX(W716,0),'Tax Tables'!$B$27)*'Tax Tables'!$B$28+MIN(MAX(MAX(W716,0)-'Tax Tables'!$B$27,0),'Tax Tables'!$B$29)*'Tax Tables'!$B$30,MIN(MAX(W716,0),'Tax Tables'!$B$23)*'Tax Tables'!$B$24+MIN(MAX(MAX(W716,0)-'Tax Tables'!$B$23,0),'Tax Tables'!$B$25)*'Tax Tables'!$B$26))*1-MIN('Tax Tables'!$B$22*(MAX(W716,0)-IF(Calculator!$B$10="Yes",MIN(MAX(W716,0),'Tax Tables'!$B$27)*'Tax Tables'!$B$28+MIN(MAX(MAX(W716,0)-'Tax Tables'!$B$27,0),'Tax Tables'!$B$29)*'Tax Tables'!$B$30,MIN(MAX(W716,0),'Tax Tables'!$B$23)*'Tax Tables'!$B$24+MIN(MAX(MAX(W716,0)-'Tax Tables'!$B$23,0),'Tax Tables'!$B$25)*'Tax Tables'!$B$26))*Calculator!$B$11,Calculator!$B$12)</f>
        <v>2298.825</v>
      </c>
      <c r="Y716" s="11" t="n">
        <f aca="false">MAX(W716,0)-X716</f>
        <v>29746.175</v>
      </c>
      <c r="Z716" s="11" t="n">
        <f aca="false">MIN(IF(P716&gt;0,Calculator!$B$13,0)+T716+Calculator!$B$14,'Tax Tables'!$B$36)</f>
        <v>20200</v>
      </c>
      <c r="AA716" s="11" t="n">
        <f aca="false">MAX(P716-Z716,0)</f>
        <v>331300</v>
      </c>
      <c r="AB716" s="11" t="n">
        <f aca="false">SUMPRODUCT((AA716&gt;'Tax Tables'!$A$5:$A$17)*(AA716-'Tax Tables'!$A$5:$A$17)*'Tax Tables'!$C$5:$C$17)</f>
        <v>47036</v>
      </c>
      <c r="AC716" s="11" t="n">
        <f aca="false">IF(W716&lt;0,-1E+099,P716-T716-AB716+Y716+(T716+U716)*Calculator!$B$9)</f>
        <v>350530.175</v>
      </c>
    </row>
    <row r="717" customFormat="false" ht="15" hidden="false" customHeight="false" outlineLevel="0" collapsed="false">
      <c r="A717" s="11" t="n">
        <f aca="false">704*$B$3</f>
        <v>352000</v>
      </c>
      <c r="B717" s="11" t="n">
        <f aca="false">0</f>
        <v>0</v>
      </c>
      <c r="C717" s="11" t="n">
        <f aca="false">A717-B717</f>
        <v>352000</v>
      </c>
      <c r="D717" s="11" t="n">
        <f aca="false">IF(Calculator!$B$6="Yes",MIN(B717,'Tax Tables'!$B$31*'Tax Tables'!$B$32),0)</f>
        <v>0</v>
      </c>
      <c r="E717" s="11" t="n">
        <f aca="false">D717*Calculator!$B$7</f>
        <v>0</v>
      </c>
      <c r="F717" s="11" t="n">
        <f aca="false">D717*Calculator!$B$8</f>
        <v>0</v>
      </c>
      <c r="G717" s="11" t="n">
        <f aca="false">IF(B717&gt;0,'Tax Tables'!$B$32*MIN(MAX(B717/'Tax Tables'!$B$32*'Tax Tables'!$B$33,'Tax Tables'!$B$34),'Tax Tables'!$B$35),0)</f>
        <v>0</v>
      </c>
      <c r="H717" s="11" t="n">
        <f aca="false">Calculator!$B$5-A717-F717-G717</f>
        <v>48000</v>
      </c>
      <c r="I717" s="11" t="n">
        <f aca="false">'Tax Tables'!$B$22*(MAX(H717,0)-IF(Calculator!$B$10="Yes",MIN(MAX(H717,0),'Tax Tables'!$B$27)*'Tax Tables'!$B$28+MIN(MAX(MAX(H717,0)-'Tax Tables'!$B$27,0),'Tax Tables'!$B$29)*'Tax Tables'!$B$30,MIN(MAX(H717,0),'Tax Tables'!$B$23)*'Tax Tables'!$B$24+MIN(MAX(MAX(H717,0)-'Tax Tables'!$B$23,0),'Tax Tables'!$B$25)*'Tax Tables'!$B$26))*1-MIN('Tax Tables'!$B$22*(MAX(H717,0)-IF(Calculator!$B$10="Yes",MIN(MAX(H717,0),'Tax Tables'!$B$27)*'Tax Tables'!$B$28+MIN(MAX(MAX(H717,0)-'Tax Tables'!$B$27,0),'Tax Tables'!$B$29)*'Tax Tables'!$B$30,MIN(MAX(H717,0),'Tax Tables'!$B$23)*'Tax Tables'!$B$24+MIN(MAX(MAX(H717,0)-'Tax Tables'!$B$23,0),'Tax Tables'!$B$25)*'Tax Tables'!$B$26))*Calculator!$B$11,Calculator!$B$12)</f>
        <v>3655</v>
      </c>
      <c r="J717" s="11" t="n">
        <f aca="false">MAX(H717,0)-I717</f>
        <v>44345</v>
      </c>
      <c r="K717" s="11" t="n">
        <f aca="false">MIN(IF(A717&gt;0,Calculator!$B$13,0)+E717+Calculator!$B$14,'Tax Tables'!$B$36)</f>
        <v>1000</v>
      </c>
      <c r="L717" s="11" t="n">
        <f aca="false">MAX(A717-K717,0)</f>
        <v>351000</v>
      </c>
      <c r="M717" s="11" t="n">
        <f aca="false">SUMPRODUCT((L717&gt;'Tax Tables'!$A$5:$A$17)*(L717-'Tax Tables'!$A$5:$A$17)*'Tax Tables'!$C$5:$C$17)</f>
        <v>51370</v>
      </c>
      <c r="N717" s="11" t="n">
        <f aca="false">IF(H717&lt;0,-1E+099,A717-E717-M717+J717+(E717+F717)*Calculator!$B$9)</f>
        <v>344975</v>
      </c>
      <c r="O717" s="2"/>
      <c r="P717" s="11" t="n">
        <f aca="false">704*$B$3</f>
        <v>352000</v>
      </c>
      <c r="Q717" s="11" t="n">
        <f aca="false">MIN(P717,'Tax Tables'!$B$31*'Tax Tables'!$B$32)</f>
        <v>96000</v>
      </c>
      <c r="R717" s="11" t="n">
        <f aca="false">P717-Q717</f>
        <v>256000</v>
      </c>
      <c r="S717" s="11" t="n">
        <f aca="false">IF(Calculator!$B$6="Yes",MIN(Q717,'Tax Tables'!$B$31*'Tax Tables'!$B$32),0)</f>
        <v>96000</v>
      </c>
      <c r="T717" s="11" t="n">
        <f aca="false">S717*Calculator!$B$7</f>
        <v>19200</v>
      </c>
      <c r="U717" s="11" t="n">
        <f aca="false">S717*Calculator!$B$8</f>
        <v>16320</v>
      </c>
      <c r="V717" s="11" t="n">
        <f aca="false">IF(Q717&gt;0,'Tax Tables'!$B$32*MIN(MAX(Q717/'Tax Tables'!$B$32*'Tax Tables'!$B$33,'Tax Tables'!$B$34),'Tax Tables'!$B$35),0)</f>
        <v>135</v>
      </c>
      <c r="W717" s="11" t="n">
        <f aca="false">Calculator!$B$5-P717-U717-V717</f>
        <v>31545</v>
      </c>
      <c r="X717" s="11" t="n">
        <f aca="false">'Tax Tables'!$B$22*(MAX(W717,0)-IF(Calculator!$B$10="Yes",MIN(MAX(W717,0),'Tax Tables'!$B$27)*'Tax Tables'!$B$28+MIN(MAX(MAX(W717,0)-'Tax Tables'!$B$27,0),'Tax Tables'!$B$29)*'Tax Tables'!$B$30,MIN(MAX(W717,0),'Tax Tables'!$B$23)*'Tax Tables'!$B$24+MIN(MAX(MAX(W717,0)-'Tax Tables'!$B$23,0),'Tax Tables'!$B$25)*'Tax Tables'!$B$26))*1-MIN('Tax Tables'!$B$22*(MAX(W717,0)-IF(Calculator!$B$10="Yes",MIN(MAX(W717,0),'Tax Tables'!$B$27)*'Tax Tables'!$B$28+MIN(MAX(MAX(W717,0)-'Tax Tables'!$B$27,0),'Tax Tables'!$B$29)*'Tax Tables'!$B$30,MIN(MAX(W717,0),'Tax Tables'!$B$23)*'Tax Tables'!$B$24+MIN(MAX(MAX(W717,0)-'Tax Tables'!$B$23,0),'Tax Tables'!$B$25)*'Tax Tables'!$B$26))*Calculator!$B$11,Calculator!$B$12)</f>
        <v>2256.325</v>
      </c>
      <c r="Y717" s="11" t="n">
        <f aca="false">MAX(W717,0)-X717</f>
        <v>29288.675</v>
      </c>
      <c r="Z717" s="11" t="n">
        <f aca="false">MIN(IF(P717&gt;0,Calculator!$B$13,0)+T717+Calculator!$B$14,'Tax Tables'!$B$36)</f>
        <v>20200</v>
      </c>
      <c r="AA717" s="11" t="n">
        <f aca="false">MAX(P717-Z717,0)</f>
        <v>331800</v>
      </c>
      <c r="AB717" s="11" t="n">
        <f aca="false">SUMPRODUCT((AA717&gt;'Tax Tables'!$A$5:$A$17)*(AA717-'Tax Tables'!$A$5:$A$17)*'Tax Tables'!$C$5:$C$17)</f>
        <v>47146</v>
      </c>
      <c r="AC717" s="11" t="n">
        <f aca="false">IF(W717&lt;0,-1E+099,P717-T717-AB717+Y717+(T717+U717)*Calculator!$B$9)</f>
        <v>350462.675</v>
      </c>
    </row>
    <row r="718" customFormat="false" ht="15" hidden="false" customHeight="false" outlineLevel="0" collapsed="false">
      <c r="A718" s="11" t="n">
        <f aca="false">705*$B$3</f>
        <v>352500</v>
      </c>
      <c r="B718" s="11" t="n">
        <f aca="false">0</f>
        <v>0</v>
      </c>
      <c r="C718" s="11" t="n">
        <f aca="false">A718-B718</f>
        <v>352500</v>
      </c>
      <c r="D718" s="11" t="n">
        <f aca="false">IF(Calculator!$B$6="Yes",MIN(B718,'Tax Tables'!$B$31*'Tax Tables'!$B$32),0)</f>
        <v>0</v>
      </c>
      <c r="E718" s="11" t="n">
        <f aca="false">D718*Calculator!$B$7</f>
        <v>0</v>
      </c>
      <c r="F718" s="11" t="n">
        <f aca="false">D718*Calculator!$B$8</f>
        <v>0</v>
      </c>
      <c r="G718" s="11" t="n">
        <f aca="false">IF(B718&gt;0,'Tax Tables'!$B$32*MIN(MAX(B718/'Tax Tables'!$B$32*'Tax Tables'!$B$33,'Tax Tables'!$B$34),'Tax Tables'!$B$35),0)</f>
        <v>0</v>
      </c>
      <c r="H718" s="11" t="n">
        <f aca="false">Calculator!$B$5-A718-F718-G718</f>
        <v>47500</v>
      </c>
      <c r="I718" s="11" t="n">
        <f aca="false">'Tax Tables'!$B$22*(MAX(H718,0)-IF(Calculator!$B$10="Yes",MIN(MAX(H718,0),'Tax Tables'!$B$27)*'Tax Tables'!$B$28+MIN(MAX(MAX(H718,0)-'Tax Tables'!$B$27,0),'Tax Tables'!$B$29)*'Tax Tables'!$B$30,MIN(MAX(H718,0),'Tax Tables'!$B$23)*'Tax Tables'!$B$24+MIN(MAX(MAX(H718,0)-'Tax Tables'!$B$23,0),'Tax Tables'!$B$25)*'Tax Tables'!$B$26))*1-MIN('Tax Tables'!$B$22*(MAX(H718,0)-IF(Calculator!$B$10="Yes",MIN(MAX(H718,0),'Tax Tables'!$B$27)*'Tax Tables'!$B$28+MIN(MAX(MAX(H718,0)-'Tax Tables'!$B$27,0),'Tax Tables'!$B$29)*'Tax Tables'!$B$30,MIN(MAX(H718,0),'Tax Tables'!$B$23)*'Tax Tables'!$B$24+MIN(MAX(MAX(H718,0)-'Tax Tables'!$B$23,0),'Tax Tables'!$B$25)*'Tax Tables'!$B$26))*Calculator!$B$11,Calculator!$B$12)</f>
        <v>3612.5</v>
      </c>
      <c r="J718" s="11" t="n">
        <f aca="false">MAX(H718,0)-I718</f>
        <v>43887.5</v>
      </c>
      <c r="K718" s="11" t="n">
        <f aca="false">MIN(IF(A718&gt;0,Calculator!$B$13,0)+E718+Calculator!$B$14,'Tax Tables'!$B$36)</f>
        <v>1000</v>
      </c>
      <c r="L718" s="11" t="n">
        <f aca="false">MAX(A718-K718,0)</f>
        <v>351500</v>
      </c>
      <c r="M718" s="11" t="n">
        <f aca="false">SUMPRODUCT((L718&gt;'Tax Tables'!$A$5:$A$17)*(L718-'Tax Tables'!$A$5:$A$17)*'Tax Tables'!$C$5:$C$17)</f>
        <v>51480</v>
      </c>
      <c r="N718" s="11" t="n">
        <f aca="false">IF(H718&lt;0,-1E+099,A718-E718-M718+J718+(E718+F718)*Calculator!$B$9)</f>
        <v>344907.5</v>
      </c>
      <c r="O718" s="2"/>
      <c r="P718" s="11" t="n">
        <f aca="false">705*$B$3</f>
        <v>352500</v>
      </c>
      <c r="Q718" s="11" t="n">
        <f aca="false">MIN(P718,'Tax Tables'!$B$31*'Tax Tables'!$B$32)</f>
        <v>96000</v>
      </c>
      <c r="R718" s="11" t="n">
        <f aca="false">P718-Q718</f>
        <v>256500</v>
      </c>
      <c r="S718" s="11" t="n">
        <f aca="false">IF(Calculator!$B$6="Yes",MIN(Q718,'Tax Tables'!$B$31*'Tax Tables'!$B$32),0)</f>
        <v>96000</v>
      </c>
      <c r="T718" s="11" t="n">
        <f aca="false">S718*Calculator!$B$7</f>
        <v>19200</v>
      </c>
      <c r="U718" s="11" t="n">
        <f aca="false">S718*Calculator!$B$8</f>
        <v>16320</v>
      </c>
      <c r="V718" s="11" t="n">
        <f aca="false">IF(Q718&gt;0,'Tax Tables'!$B$32*MIN(MAX(Q718/'Tax Tables'!$B$32*'Tax Tables'!$B$33,'Tax Tables'!$B$34),'Tax Tables'!$B$35),0)</f>
        <v>135</v>
      </c>
      <c r="W718" s="11" t="n">
        <f aca="false">Calculator!$B$5-P718-U718-V718</f>
        <v>31045</v>
      </c>
      <c r="X718" s="11" t="n">
        <f aca="false">'Tax Tables'!$B$22*(MAX(W718,0)-IF(Calculator!$B$10="Yes",MIN(MAX(W718,0),'Tax Tables'!$B$27)*'Tax Tables'!$B$28+MIN(MAX(MAX(W718,0)-'Tax Tables'!$B$27,0),'Tax Tables'!$B$29)*'Tax Tables'!$B$30,MIN(MAX(W718,0),'Tax Tables'!$B$23)*'Tax Tables'!$B$24+MIN(MAX(MAX(W718,0)-'Tax Tables'!$B$23,0),'Tax Tables'!$B$25)*'Tax Tables'!$B$26))*1-MIN('Tax Tables'!$B$22*(MAX(W718,0)-IF(Calculator!$B$10="Yes",MIN(MAX(W718,0),'Tax Tables'!$B$27)*'Tax Tables'!$B$28+MIN(MAX(MAX(W718,0)-'Tax Tables'!$B$27,0),'Tax Tables'!$B$29)*'Tax Tables'!$B$30,MIN(MAX(W718,0),'Tax Tables'!$B$23)*'Tax Tables'!$B$24+MIN(MAX(MAX(W718,0)-'Tax Tables'!$B$23,0),'Tax Tables'!$B$25)*'Tax Tables'!$B$26))*Calculator!$B$11,Calculator!$B$12)</f>
        <v>2213.825</v>
      </c>
      <c r="Y718" s="11" t="n">
        <f aca="false">MAX(W718,0)-X718</f>
        <v>28831.175</v>
      </c>
      <c r="Z718" s="11" t="n">
        <f aca="false">MIN(IF(P718&gt;0,Calculator!$B$13,0)+T718+Calculator!$B$14,'Tax Tables'!$B$36)</f>
        <v>20200</v>
      </c>
      <c r="AA718" s="11" t="n">
        <f aca="false">MAX(P718-Z718,0)</f>
        <v>332300</v>
      </c>
      <c r="AB718" s="11" t="n">
        <f aca="false">SUMPRODUCT((AA718&gt;'Tax Tables'!$A$5:$A$17)*(AA718-'Tax Tables'!$A$5:$A$17)*'Tax Tables'!$C$5:$C$17)</f>
        <v>47256</v>
      </c>
      <c r="AC718" s="11" t="n">
        <f aca="false">IF(W718&lt;0,-1E+099,P718-T718-AB718+Y718+(T718+U718)*Calculator!$B$9)</f>
        <v>350395.175</v>
      </c>
    </row>
    <row r="719" customFormat="false" ht="15" hidden="false" customHeight="false" outlineLevel="0" collapsed="false">
      <c r="A719" s="11" t="n">
        <f aca="false">706*$B$3</f>
        <v>353000</v>
      </c>
      <c r="B719" s="11" t="n">
        <f aca="false">0</f>
        <v>0</v>
      </c>
      <c r="C719" s="11" t="n">
        <f aca="false">A719-B719</f>
        <v>353000</v>
      </c>
      <c r="D719" s="11" t="n">
        <f aca="false">IF(Calculator!$B$6="Yes",MIN(B719,'Tax Tables'!$B$31*'Tax Tables'!$B$32),0)</f>
        <v>0</v>
      </c>
      <c r="E719" s="11" t="n">
        <f aca="false">D719*Calculator!$B$7</f>
        <v>0</v>
      </c>
      <c r="F719" s="11" t="n">
        <f aca="false">D719*Calculator!$B$8</f>
        <v>0</v>
      </c>
      <c r="G719" s="11" t="n">
        <f aca="false">IF(B719&gt;0,'Tax Tables'!$B$32*MIN(MAX(B719/'Tax Tables'!$B$32*'Tax Tables'!$B$33,'Tax Tables'!$B$34),'Tax Tables'!$B$35),0)</f>
        <v>0</v>
      </c>
      <c r="H719" s="11" t="n">
        <f aca="false">Calculator!$B$5-A719-F719-G719</f>
        <v>47000</v>
      </c>
      <c r="I719" s="11" t="n">
        <f aca="false">'Tax Tables'!$B$22*(MAX(H719,0)-IF(Calculator!$B$10="Yes",MIN(MAX(H719,0),'Tax Tables'!$B$27)*'Tax Tables'!$B$28+MIN(MAX(MAX(H719,0)-'Tax Tables'!$B$27,0),'Tax Tables'!$B$29)*'Tax Tables'!$B$30,MIN(MAX(H719,0),'Tax Tables'!$B$23)*'Tax Tables'!$B$24+MIN(MAX(MAX(H719,0)-'Tax Tables'!$B$23,0),'Tax Tables'!$B$25)*'Tax Tables'!$B$26))*1-MIN('Tax Tables'!$B$22*(MAX(H719,0)-IF(Calculator!$B$10="Yes",MIN(MAX(H719,0),'Tax Tables'!$B$27)*'Tax Tables'!$B$28+MIN(MAX(MAX(H719,0)-'Tax Tables'!$B$27,0),'Tax Tables'!$B$29)*'Tax Tables'!$B$30,MIN(MAX(H719,0),'Tax Tables'!$B$23)*'Tax Tables'!$B$24+MIN(MAX(MAX(H719,0)-'Tax Tables'!$B$23,0),'Tax Tables'!$B$25)*'Tax Tables'!$B$26))*Calculator!$B$11,Calculator!$B$12)</f>
        <v>3570</v>
      </c>
      <c r="J719" s="11" t="n">
        <f aca="false">MAX(H719,0)-I719</f>
        <v>43430</v>
      </c>
      <c r="K719" s="11" t="n">
        <f aca="false">MIN(IF(A719&gt;0,Calculator!$B$13,0)+E719+Calculator!$B$14,'Tax Tables'!$B$36)</f>
        <v>1000</v>
      </c>
      <c r="L719" s="11" t="n">
        <f aca="false">MAX(A719-K719,0)</f>
        <v>352000</v>
      </c>
      <c r="M719" s="11" t="n">
        <f aca="false">SUMPRODUCT((L719&gt;'Tax Tables'!$A$5:$A$17)*(L719-'Tax Tables'!$A$5:$A$17)*'Tax Tables'!$C$5:$C$17)</f>
        <v>51590</v>
      </c>
      <c r="N719" s="11" t="n">
        <f aca="false">IF(H719&lt;0,-1E+099,A719-E719-M719+J719+(E719+F719)*Calculator!$B$9)</f>
        <v>344840</v>
      </c>
      <c r="O719" s="2"/>
      <c r="P719" s="11" t="n">
        <f aca="false">706*$B$3</f>
        <v>353000</v>
      </c>
      <c r="Q719" s="11" t="n">
        <f aca="false">MIN(P719,'Tax Tables'!$B$31*'Tax Tables'!$B$32)</f>
        <v>96000</v>
      </c>
      <c r="R719" s="11" t="n">
        <f aca="false">P719-Q719</f>
        <v>257000</v>
      </c>
      <c r="S719" s="11" t="n">
        <f aca="false">IF(Calculator!$B$6="Yes",MIN(Q719,'Tax Tables'!$B$31*'Tax Tables'!$B$32),0)</f>
        <v>96000</v>
      </c>
      <c r="T719" s="11" t="n">
        <f aca="false">S719*Calculator!$B$7</f>
        <v>19200</v>
      </c>
      <c r="U719" s="11" t="n">
        <f aca="false">S719*Calculator!$B$8</f>
        <v>16320</v>
      </c>
      <c r="V719" s="11" t="n">
        <f aca="false">IF(Q719&gt;0,'Tax Tables'!$B$32*MIN(MAX(Q719/'Tax Tables'!$B$32*'Tax Tables'!$B$33,'Tax Tables'!$B$34),'Tax Tables'!$B$35),0)</f>
        <v>135</v>
      </c>
      <c r="W719" s="11" t="n">
        <f aca="false">Calculator!$B$5-P719-U719-V719</f>
        <v>30545</v>
      </c>
      <c r="X719" s="11" t="n">
        <f aca="false">'Tax Tables'!$B$22*(MAX(W719,0)-IF(Calculator!$B$10="Yes",MIN(MAX(W719,0),'Tax Tables'!$B$27)*'Tax Tables'!$B$28+MIN(MAX(MAX(W719,0)-'Tax Tables'!$B$27,0),'Tax Tables'!$B$29)*'Tax Tables'!$B$30,MIN(MAX(W719,0),'Tax Tables'!$B$23)*'Tax Tables'!$B$24+MIN(MAX(MAX(W719,0)-'Tax Tables'!$B$23,0),'Tax Tables'!$B$25)*'Tax Tables'!$B$26))*1-MIN('Tax Tables'!$B$22*(MAX(W719,0)-IF(Calculator!$B$10="Yes",MIN(MAX(W719,0),'Tax Tables'!$B$27)*'Tax Tables'!$B$28+MIN(MAX(MAX(W719,0)-'Tax Tables'!$B$27,0),'Tax Tables'!$B$29)*'Tax Tables'!$B$30,MIN(MAX(W719,0),'Tax Tables'!$B$23)*'Tax Tables'!$B$24+MIN(MAX(MAX(W719,0)-'Tax Tables'!$B$23,0),'Tax Tables'!$B$25)*'Tax Tables'!$B$26))*Calculator!$B$11,Calculator!$B$12)</f>
        <v>2171.325</v>
      </c>
      <c r="Y719" s="11" t="n">
        <f aca="false">MAX(W719,0)-X719</f>
        <v>28373.675</v>
      </c>
      <c r="Z719" s="11" t="n">
        <f aca="false">MIN(IF(P719&gt;0,Calculator!$B$13,0)+T719+Calculator!$B$14,'Tax Tables'!$B$36)</f>
        <v>20200</v>
      </c>
      <c r="AA719" s="11" t="n">
        <f aca="false">MAX(P719-Z719,0)</f>
        <v>332800</v>
      </c>
      <c r="AB719" s="11" t="n">
        <f aca="false">SUMPRODUCT((AA719&gt;'Tax Tables'!$A$5:$A$17)*(AA719-'Tax Tables'!$A$5:$A$17)*'Tax Tables'!$C$5:$C$17)</f>
        <v>47366</v>
      </c>
      <c r="AC719" s="11" t="n">
        <f aca="false">IF(W719&lt;0,-1E+099,P719-T719-AB719+Y719+(T719+U719)*Calculator!$B$9)</f>
        <v>350327.675</v>
      </c>
    </row>
    <row r="720" customFormat="false" ht="15" hidden="false" customHeight="false" outlineLevel="0" collapsed="false">
      <c r="A720" s="11" t="n">
        <f aca="false">707*$B$3</f>
        <v>353500</v>
      </c>
      <c r="B720" s="11" t="n">
        <f aca="false">0</f>
        <v>0</v>
      </c>
      <c r="C720" s="11" t="n">
        <f aca="false">A720-B720</f>
        <v>353500</v>
      </c>
      <c r="D720" s="11" t="n">
        <f aca="false">IF(Calculator!$B$6="Yes",MIN(B720,'Tax Tables'!$B$31*'Tax Tables'!$B$32),0)</f>
        <v>0</v>
      </c>
      <c r="E720" s="11" t="n">
        <f aca="false">D720*Calculator!$B$7</f>
        <v>0</v>
      </c>
      <c r="F720" s="11" t="n">
        <f aca="false">D720*Calculator!$B$8</f>
        <v>0</v>
      </c>
      <c r="G720" s="11" t="n">
        <f aca="false">IF(B720&gt;0,'Tax Tables'!$B$32*MIN(MAX(B720/'Tax Tables'!$B$32*'Tax Tables'!$B$33,'Tax Tables'!$B$34),'Tax Tables'!$B$35),0)</f>
        <v>0</v>
      </c>
      <c r="H720" s="11" t="n">
        <f aca="false">Calculator!$B$5-A720-F720-G720</f>
        <v>46500</v>
      </c>
      <c r="I720" s="11" t="n">
        <f aca="false">'Tax Tables'!$B$22*(MAX(H720,0)-IF(Calculator!$B$10="Yes",MIN(MAX(H720,0),'Tax Tables'!$B$27)*'Tax Tables'!$B$28+MIN(MAX(MAX(H720,0)-'Tax Tables'!$B$27,0),'Tax Tables'!$B$29)*'Tax Tables'!$B$30,MIN(MAX(H720,0),'Tax Tables'!$B$23)*'Tax Tables'!$B$24+MIN(MAX(MAX(H720,0)-'Tax Tables'!$B$23,0),'Tax Tables'!$B$25)*'Tax Tables'!$B$26))*1-MIN('Tax Tables'!$B$22*(MAX(H720,0)-IF(Calculator!$B$10="Yes",MIN(MAX(H720,0),'Tax Tables'!$B$27)*'Tax Tables'!$B$28+MIN(MAX(MAX(H720,0)-'Tax Tables'!$B$27,0),'Tax Tables'!$B$29)*'Tax Tables'!$B$30,MIN(MAX(H720,0),'Tax Tables'!$B$23)*'Tax Tables'!$B$24+MIN(MAX(MAX(H720,0)-'Tax Tables'!$B$23,0),'Tax Tables'!$B$25)*'Tax Tables'!$B$26))*Calculator!$B$11,Calculator!$B$12)</f>
        <v>3527.5</v>
      </c>
      <c r="J720" s="11" t="n">
        <f aca="false">MAX(H720,0)-I720</f>
        <v>42972.5</v>
      </c>
      <c r="K720" s="11" t="n">
        <f aca="false">MIN(IF(A720&gt;0,Calculator!$B$13,0)+E720+Calculator!$B$14,'Tax Tables'!$B$36)</f>
        <v>1000</v>
      </c>
      <c r="L720" s="11" t="n">
        <f aca="false">MAX(A720-K720,0)</f>
        <v>352500</v>
      </c>
      <c r="M720" s="11" t="n">
        <f aca="false">SUMPRODUCT((L720&gt;'Tax Tables'!$A$5:$A$17)*(L720-'Tax Tables'!$A$5:$A$17)*'Tax Tables'!$C$5:$C$17)</f>
        <v>51700</v>
      </c>
      <c r="N720" s="11" t="n">
        <f aca="false">IF(H720&lt;0,-1E+099,A720-E720-M720+J720+(E720+F720)*Calculator!$B$9)</f>
        <v>344772.5</v>
      </c>
      <c r="O720" s="2"/>
      <c r="P720" s="11" t="n">
        <f aca="false">707*$B$3</f>
        <v>353500</v>
      </c>
      <c r="Q720" s="11" t="n">
        <f aca="false">MIN(P720,'Tax Tables'!$B$31*'Tax Tables'!$B$32)</f>
        <v>96000</v>
      </c>
      <c r="R720" s="11" t="n">
        <f aca="false">P720-Q720</f>
        <v>257500</v>
      </c>
      <c r="S720" s="11" t="n">
        <f aca="false">IF(Calculator!$B$6="Yes",MIN(Q720,'Tax Tables'!$B$31*'Tax Tables'!$B$32),0)</f>
        <v>96000</v>
      </c>
      <c r="T720" s="11" t="n">
        <f aca="false">S720*Calculator!$B$7</f>
        <v>19200</v>
      </c>
      <c r="U720" s="11" t="n">
        <f aca="false">S720*Calculator!$B$8</f>
        <v>16320</v>
      </c>
      <c r="V720" s="11" t="n">
        <f aca="false">IF(Q720&gt;0,'Tax Tables'!$B$32*MIN(MAX(Q720/'Tax Tables'!$B$32*'Tax Tables'!$B$33,'Tax Tables'!$B$34),'Tax Tables'!$B$35),0)</f>
        <v>135</v>
      </c>
      <c r="W720" s="11" t="n">
        <f aca="false">Calculator!$B$5-P720-U720-V720</f>
        <v>30045</v>
      </c>
      <c r="X720" s="11" t="n">
        <f aca="false">'Tax Tables'!$B$22*(MAX(W720,0)-IF(Calculator!$B$10="Yes",MIN(MAX(W720,0),'Tax Tables'!$B$27)*'Tax Tables'!$B$28+MIN(MAX(MAX(W720,0)-'Tax Tables'!$B$27,0),'Tax Tables'!$B$29)*'Tax Tables'!$B$30,MIN(MAX(W720,0),'Tax Tables'!$B$23)*'Tax Tables'!$B$24+MIN(MAX(MAX(W720,0)-'Tax Tables'!$B$23,0),'Tax Tables'!$B$25)*'Tax Tables'!$B$26))*1-MIN('Tax Tables'!$B$22*(MAX(W720,0)-IF(Calculator!$B$10="Yes",MIN(MAX(W720,0),'Tax Tables'!$B$27)*'Tax Tables'!$B$28+MIN(MAX(MAX(W720,0)-'Tax Tables'!$B$27,0),'Tax Tables'!$B$29)*'Tax Tables'!$B$30,MIN(MAX(W720,0),'Tax Tables'!$B$23)*'Tax Tables'!$B$24+MIN(MAX(MAX(W720,0)-'Tax Tables'!$B$23,0),'Tax Tables'!$B$25)*'Tax Tables'!$B$26))*Calculator!$B$11,Calculator!$B$12)</f>
        <v>2128.825</v>
      </c>
      <c r="Y720" s="11" t="n">
        <f aca="false">MAX(W720,0)-X720</f>
        <v>27916.175</v>
      </c>
      <c r="Z720" s="11" t="n">
        <f aca="false">MIN(IF(P720&gt;0,Calculator!$B$13,0)+T720+Calculator!$B$14,'Tax Tables'!$B$36)</f>
        <v>20200</v>
      </c>
      <c r="AA720" s="11" t="n">
        <f aca="false">MAX(P720-Z720,0)</f>
        <v>333300</v>
      </c>
      <c r="AB720" s="11" t="n">
        <f aca="false">SUMPRODUCT((AA720&gt;'Tax Tables'!$A$5:$A$17)*(AA720-'Tax Tables'!$A$5:$A$17)*'Tax Tables'!$C$5:$C$17)</f>
        <v>47476</v>
      </c>
      <c r="AC720" s="11" t="n">
        <f aca="false">IF(W720&lt;0,-1E+099,P720-T720-AB720+Y720+(T720+U720)*Calculator!$B$9)</f>
        <v>350260.175</v>
      </c>
    </row>
    <row r="721" customFormat="false" ht="15" hidden="false" customHeight="false" outlineLevel="0" collapsed="false">
      <c r="A721" s="11" t="n">
        <f aca="false">708*$B$3</f>
        <v>354000</v>
      </c>
      <c r="B721" s="11" t="n">
        <f aca="false">0</f>
        <v>0</v>
      </c>
      <c r="C721" s="11" t="n">
        <f aca="false">A721-B721</f>
        <v>354000</v>
      </c>
      <c r="D721" s="11" t="n">
        <f aca="false">IF(Calculator!$B$6="Yes",MIN(B721,'Tax Tables'!$B$31*'Tax Tables'!$B$32),0)</f>
        <v>0</v>
      </c>
      <c r="E721" s="11" t="n">
        <f aca="false">D721*Calculator!$B$7</f>
        <v>0</v>
      </c>
      <c r="F721" s="11" t="n">
        <f aca="false">D721*Calculator!$B$8</f>
        <v>0</v>
      </c>
      <c r="G721" s="11" t="n">
        <f aca="false">IF(B721&gt;0,'Tax Tables'!$B$32*MIN(MAX(B721/'Tax Tables'!$B$32*'Tax Tables'!$B$33,'Tax Tables'!$B$34),'Tax Tables'!$B$35),0)</f>
        <v>0</v>
      </c>
      <c r="H721" s="11" t="n">
        <f aca="false">Calculator!$B$5-A721-F721-G721</f>
        <v>46000</v>
      </c>
      <c r="I721" s="11" t="n">
        <f aca="false">'Tax Tables'!$B$22*(MAX(H721,0)-IF(Calculator!$B$10="Yes",MIN(MAX(H721,0),'Tax Tables'!$B$27)*'Tax Tables'!$B$28+MIN(MAX(MAX(H721,0)-'Tax Tables'!$B$27,0),'Tax Tables'!$B$29)*'Tax Tables'!$B$30,MIN(MAX(H721,0),'Tax Tables'!$B$23)*'Tax Tables'!$B$24+MIN(MAX(MAX(H721,0)-'Tax Tables'!$B$23,0),'Tax Tables'!$B$25)*'Tax Tables'!$B$26))*1-MIN('Tax Tables'!$B$22*(MAX(H721,0)-IF(Calculator!$B$10="Yes",MIN(MAX(H721,0),'Tax Tables'!$B$27)*'Tax Tables'!$B$28+MIN(MAX(MAX(H721,0)-'Tax Tables'!$B$27,0),'Tax Tables'!$B$29)*'Tax Tables'!$B$30,MIN(MAX(H721,0),'Tax Tables'!$B$23)*'Tax Tables'!$B$24+MIN(MAX(MAX(H721,0)-'Tax Tables'!$B$23,0),'Tax Tables'!$B$25)*'Tax Tables'!$B$26))*Calculator!$B$11,Calculator!$B$12)</f>
        <v>3485</v>
      </c>
      <c r="J721" s="11" t="n">
        <f aca="false">MAX(H721,0)-I721</f>
        <v>42515</v>
      </c>
      <c r="K721" s="11" t="n">
        <f aca="false">MIN(IF(A721&gt;0,Calculator!$B$13,0)+E721+Calculator!$B$14,'Tax Tables'!$B$36)</f>
        <v>1000</v>
      </c>
      <c r="L721" s="11" t="n">
        <f aca="false">MAX(A721-K721,0)</f>
        <v>353000</v>
      </c>
      <c r="M721" s="11" t="n">
        <f aca="false">SUMPRODUCT((L721&gt;'Tax Tables'!$A$5:$A$17)*(L721-'Tax Tables'!$A$5:$A$17)*'Tax Tables'!$C$5:$C$17)</f>
        <v>51810</v>
      </c>
      <c r="N721" s="11" t="n">
        <f aca="false">IF(H721&lt;0,-1E+099,A721-E721-M721+J721+(E721+F721)*Calculator!$B$9)</f>
        <v>344705</v>
      </c>
      <c r="O721" s="2"/>
      <c r="P721" s="11" t="n">
        <f aca="false">708*$B$3</f>
        <v>354000</v>
      </c>
      <c r="Q721" s="11" t="n">
        <f aca="false">MIN(P721,'Tax Tables'!$B$31*'Tax Tables'!$B$32)</f>
        <v>96000</v>
      </c>
      <c r="R721" s="11" t="n">
        <f aca="false">P721-Q721</f>
        <v>258000</v>
      </c>
      <c r="S721" s="11" t="n">
        <f aca="false">IF(Calculator!$B$6="Yes",MIN(Q721,'Tax Tables'!$B$31*'Tax Tables'!$B$32),0)</f>
        <v>96000</v>
      </c>
      <c r="T721" s="11" t="n">
        <f aca="false">S721*Calculator!$B$7</f>
        <v>19200</v>
      </c>
      <c r="U721" s="11" t="n">
        <f aca="false">S721*Calculator!$B$8</f>
        <v>16320</v>
      </c>
      <c r="V721" s="11" t="n">
        <f aca="false">IF(Q721&gt;0,'Tax Tables'!$B$32*MIN(MAX(Q721/'Tax Tables'!$B$32*'Tax Tables'!$B$33,'Tax Tables'!$B$34),'Tax Tables'!$B$35),0)</f>
        <v>135</v>
      </c>
      <c r="W721" s="11" t="n">
        <f aca="false">Calculator!$B$5-P721-U721-V721</f>
        <v>29545</v>
      </c>
      <c r="X721" s="11" t="n">
        <f aca="false">'Tax Tables'!$B$22*(MAX(W721,0)-IF(Calculator!$B$10="Yes",MIN(MAX(W721,0),'Tax Tables'!$B$27)*'Tax Tables'!$B$28+MIN(MAX(MAX(W721,0)-'Tax Tables'!$B$27,0),'Tax Tables'!$B$29)*'Tax Tables'!$B$30,MIN(MAX(W721,0),'Tax Tables'!$B$23)*'Tax Tables'!$B$24+MIN(MAX(MAX(W721,0)-'Tax Tables'!$B$23,0),'Tax Tables'!$B$25)*'Tax Tables'!$B$26))*1-MIN('Tax Tables'!$B$22*(MAX(W721,0)-IF(Calculator!$B$10="Yes",MIN(MAX(W721,0),'Tax Tables'!$B$27)*'Tax Tables'!$B$28+MIN(MAX(MAX(W721,0)-'Tax Tables'!$B$27,0),'Tax Tables'!$B$29)*'Tax Tables'!$B$30,MIN(MAX(W721,0),'Tax Tables'!$B$23)*'Tax Tables'!$B$24+MIN(MAX(MAX(W721,0)-'Tax Tables'!$B$23,0),'Tax Tables'!$B$25)*'Tax Tables'!$B$26))*Calculator!$B$11,Calculator!$B$12)</f>
        <v>2086.325</v>
      </c>
      <c r="Y721" s="11" t="n">
        <f aca="false">MAX(W721,0)-X721</f>
        <v>27458.675</v>
      </c>
      <c r="Z721" s="11" t="n">
        <f aca="false">MIN(IF(P721&gt;0,Calculator!$B$13,0)+T721+Calculator!$B$14,'Tax Tables'!$B$36)</f>
        <v>20200</v>
      </c>
      <c r="AA721" s="11" t="n">
        <f aca="false">MAX(P721-Z721,0)</f>
        <v>333800</v>
      </c>
      <c r="AB721" s="11" t="n">
        <f aca="false">SUMPRODUCT((AA721&gt;'Tax Tables'!$A$5:$A$17)*(AA721-'Tax Tables'!$A$5:$A$17)*'Tax Tables'!$C$5:$C$17)</f>
        <v>47586</v>
      </c>
      <c r="AC721" s="11" t="n">
        <f aca="false">IF(W721&lt;0,-1E+099,P721-T721-AB721+Y721+(T721+U721)*Calculator!$B$9)</f>
        <v>350192.675</v>
      </c>
    </row>
    <row r="722" customFormat="false" ht="15" hidden="false" customHeight="false" outlineLevel="0" collapsed="false">
      <c r="A722" s="11" t="n">
        <f aca="false">709*$B$3</f>
        <v>354500</v>
      </c>
      <c r="B722" s="11" t="n">
        <f aca="false">0</f>
        <v>0</v>
      </c>
      <c r="C722" s="11" t="n">
        <f aca="false">A722-B722</f>
        <v>354500</v>
      </c>
      <c r="D722" s="11" t="n">
        <f aca="false">IF(Calculator!$B$6="Yes",MIN(B722,'Tax Tables'!$B$31*'Tax Tables'!$B$32),0)</f>
        <v>0</v>
      </c>
      <c r="E722" s="11" t="n">
        <f aca="false">D722*Calculator!$B$7</f>
        <v>0</v>
      </c>
      <c r="F722" s="11" t="n">
        <f aca="false">D722*Calculator!$B$8</f>
        <v>0</v>
      </c>
      <c r="G722" s="11" t="n">
        <f aca="false">IF(B722&gt;0,'Tax Tables'!$B$32*MIN(MAX(B722/'Tax Tables'!$B$32*'Tax Tables'!$B$33,'Tax Tables'!$B$34),'Tax Tables'!$B$35),0)</f>
        <v>0</v>
      </c>
      <c r="H722" s="11" t="n">
        <f aca="false">Calculator!$B$5-A722-F722-G722</f>
        <v>45500</v>
      </c>
      <c r="I722" s="11" t="n">
        <f aca="false">'Tax Tables'!$B$22*(MAX(H722,0)-IF(Calculator!$B$10="Yes",MIN(MAX(H722,0),'Tax Tables'!$B$27)*'Tax Tables'!$B$28+MIN(MAX(MAX(H722,0)-'Tax Tables'!$B$27,0),'Tax Tables'!$B$29)*'Tax Tables'!$B$30,MIN(MAX(H722,0),'Tax Tables'!$B$23)*'Tax Tables'!$B$24+MIN(MAX(MAX(H722,0)-'Tax Tables'!$B$23,0),'Tax Tables'!$B$25)*'Tax Tables'!$B$26))*1-MIN('Tax Tables'!$B$22*(MAX(H722,0)-IF(Calculator!$B$10="Yes",MIN(MAX(H722,0),'Tax Tables'!$B$27)*'Tax Tables'!$B$28+MIN(MAX(MAX(H722,0)-'Tax Tables'!$B$27,0),'Tax Tables'!$B$29)*'Tax Tables'!$B$30,MIN(MAX(H722,0),'Tax Tables'!$B$23)*'Tax Tables'!$B$24+MIN(MAX(MAX(H722,0)-'Tax Tables'!$B$23,0),'Tax Tables'!$B$25)*'Tax Tables'!$B$26))*Calculator!$B$11,Calculator!$B$12)</f>
        <v>3442.5</v>
      </c>
      <c r="J722" s="11" t="n">
        <f aca="false">MAX(H722,0)-I722</f>
        <v>42057.5</v>
      </c>
      <c r="K722" s="11" t="n">
        <f aca="false">MIN(IF(A722&gt;0,Calculator!$B$13,0)+E722+Calculator!$B$14,'Tax Tables'!$B$36)</f>
        <v>1000</v>
      </c>
      <c r="L722" s="11" t="n">
        <f aca="false">MAX(A722-K722,0)</f>
        <v>353500</v>
      </c>
      <c r="M722" s="11" t="n">
        <f aca="false">SUMPRODUCT((L722&gt;'Tax Tables'!$A$5:$A$17)*(L722-'Tax Tables'!$A$5:$A$17)*'Tax Tables'!$C$5:$C$17)</f>
        <v>51920</v>
      </c>
      <c r="N722" s="11" t="n">
        <f aca="false">IF(H722&lt;0,-1E+099,A722-E722-M722+J722+(E722+F722)*Calculator!$B$9)</f>
        <v>344637.5</v>
      </c>
      <c r="O722" s="2"/>
      <c r="P722" s="11" t="n">
        <f aca="false">709*$B$3</f>
        <v>354500</v>
      </c>
      <c r="Q722" s="11" t="n">
        <f aca="false">MIN(P722,'Tax Tables'!$B$31*'Tax Tables'!$B$32)</f>
        <v>96000</v>
      </c>
      <c r="R722" s="11" t="n">
        <f aca="false">P722-Q722</f>
        <v>258500</v>
      </c>
      <c r="S722" s="11" t="n">
        <f aca="false">IF(Calculator!$B$6="Yes",MIN(Q722,'Tax Tables'!$B$31*'Tax Tables'!$B$32),0)</f>
        <v>96000</v>
      </c>
      <c r="T722" s="11" t="n">
        <f aca="false">S722*Calculator!$B$7</f>
        <v>19200</v>
      </c>
      <c r="U722" s="11" t="n">
        <f aca="false">S722*Calculator!$B$8</f>
        <v>16320</v>
      </c>
      <c r="V722" s="11" t="n">
        <f aca="false">IF(Q722&gt;0,'Tax Tables'!$B$32*MIN(MAX(Q722/'Tax Tables'!$B$32*'Tax Tables'!$B$33,'Tax Tables'!$B$34),'Tax Tables'!$B$35),0)</f>
        <v>135</v>
      </c>
      <c r="W722" s="11" t="n">
        <f aca="false">Calculator!$B$5-P722-U722-V722</f>
        <v>29045</v>
      </c>
      <c r="X722" s="11" t="n">
        <f aca="false">'Tax Tables'!$B$22*(MAX(W722,0)-IF(Calculator!$B$10="Yes",MIN(MAX(W722,0),'Tax Tables'!$B$27)*'Tax Tables'!$B$28+MIN(MAX(MAX(W722,0)-'Tax Tables'!$B$27,0),'Tax Tables'!$B$29)*'Tax Tables'!$B$30,MIN(MAX(W722,0),'Tax Tables'!$B$23)*'Tax Tables'!$B$24+MIN(MAX(MAX(W722,0)-'Tax Tables'!$B$23,0),'Tax Tables'!$B$25)*'Tax Tables'!$B$26))*1-MIN('Tax Tables'!$B$22*(MAX(W722,0)-IF(Calculator!$B$10="Yes",MIN(MAX(W722,0),'Tax Tables'!$B$27)*'Tax Tables'!$B$28+MIN(MAX(MAX(W722,0)-'Tax Tables'!$B$27,0),'Tax Tables'!$B$29)*'Tax Tables'!$B$30,MIN(MAX(W722,0),'Tax Tables'!$B$23)*'Tax Tables'!$B$24+MIN(MAX(MAX(W722,0)-'Tax Tables'!$B$23,0),'Tax Tables'!$B$25)*'Tax Tables'!$B$26))*Calculator!$B$11,Calculator!$B$12)</f>
        <v>2043.825</v>
      </c>
      <c r="Y722" s="11" t="n">
        <f aca="false">MAX(W722,0)-X722</f>
        <v>27001.175</v>
      </c>
      <c r="Z722" s="11" t="n">
        <f aca="false">MIN(IF(P722&gt;0,Calculator!$B$13,0)+T722+Calculator!$B$14,'Tax Tables'!$B$36)</f>
        <v>20200</v>
      </c>
      <c r="AA722" s="11" t="n">
        <f aca="false">MAX(P722-Z722,0)</f>
        <v>334300</v>
      </c>
      <c r="AB722" s="11" t="n">
        <f aca="false">SUMPRODUCT((AA722&gt;'Tax Tables'!$A$5:$A$17)*(AA722-'Tax Tables'!$A$5:$A$17)*'Tax Tables'!$C$5:$C$17)</f>
        <v>47696</v>
      </c>
      <c r="AC722" s="11" t="n">
        <f aca="false">IF(W722&lt;0,-1E+099,P722-T722-AB722+Y722+(T722+U722)*Calculator!$B$9)</f>
        <v>350125.175</v>
      </c>
    </row>
    <row r="723" customFormat="false" ht="15" hidden="false" customHeight="false" outlineLevel="0" collapsed="false">
      <c r="A723" s="11" t="n">
        <f aca="false">710*$B$3</f>
        <v>355000</v>
      </c>
      <c r="B723" s="11" t="n">
        <f aca="false">0</f>
        <v>0</v>
      </c>
      <c r="C723" s="11" t="n">
        <f aca="false">A723-B723</f>
        <v>355000</v>
      </c>
      <c r="D723" s="11" t="n">
        <f aca="false">IF(Calculator!$B$6="Yes",MIN(B723,'Tax Tables'!$B$31*'Tax Tables'!$B$32),0)</f>
        <v>0</v>
      </c>
      <c r="E723" s="11" t="n">
        <f aca="false">D723*Calculator!$B$7</f>
        <v>0</v>
      </c>
      <c r="F723" s="11" t="n">
        <f aca="false">D723*Calculator!$B$8</f>
        <v>0</v>
      </c>
      <c r="G723" s="11" t="n">
        <f aca="false">IF(B723&gt;0,'Tax Tables'!$B$32*MIN(MAX(B723/'Tax Tables'!$B$32*'Tax Tables'!$B$33,'Tax Tables'!$B$34),'Tax Tables'!$B$35),0)</f>
        <v>0</v>
      </c>
      <c r="H723" s="11" t="n">
        <f aca="false">Calculator!$B$5-A723-F723-G723</f>
        <v>45000</v>
      </c>
      <c r="I723" s="11" t="n">
        <f aca="false">'Tax Tables'!$B$22*(MAX(H723,0)-IF(Calculator!$B$10="Yes",MIN(MAX(H723,0),'Tax Tables'!$B$27)*'Tax Tables'!$B$28+MIN(MAX(MAX(H723,0)-'Tax Tables'!$B$27,0),'Tax Tables'!$B$29)*'Tax Tables'!$B$30,MIN(MAX(H723,0),'Tax Tables'!$B$23)*'Tax Tables'!$B$24+MIN(MAX(MAX(H723,0)-'Tax Tables'!$B$23,0),'Tax Tables'!$B$25)*'Tax Tables'!$B$26))*1-MIN('Tax Tables'!$B$22*(MAX(H723,0)-IF(Calculator!$B$10="Yes",MIN(MAX(H723,0),'Tax Tables'!$B$27)*'Tax Tables'!$B$28+MIN(MAX(MAX(H723,0)-'Tax Tables'!$B$27,0),'Tax Tables'!$B$29)*'Tax Tables'!$B$30,MIN(MAX(H723,0),'Tax Tables'!$B$23)*'Tax Tables'!$B$24+MIN(MAX(MAX(H723,0)-'Tax Tables'!$B$23,0),'Tax Tables'!$B$25)*'Tax Tables'!$B$26))*Calculator!$B$11,Calculator!$B$12)</f>
        <v>3400</v>
      </c>
      <c r="J723" s="11" t="n">
        <f aca="false">MAX(H723,0)-I723</f>
        <v>41600</v>
      </c>
      <c r="K723" s="11" t="n">
        <f aca="false">MIN(IF(A723&gt;0,Calculator!$B$13,0)+E723+Calculator!$B$14,'Tax Tables'!$B$36)</f>
        <v>1000</v>
      </c>
      <c r="L723" s="11" t="n">
        <f aca="false">MAX(A723-K723,0)</f>
        <v>354000</v>
      </c>
      <c r="M723" s="11" t="n">
        <f aca="false">SUMPRODUCT((L723&gt;'Tax Tables'!$A$5:$A$17)*(L723-'Tax Tables'!$A$5:$A$17)*'Tax Tables'!$C$5:$C$17)</f>
        <v>52030</v>
      </c>
      <c r="N723" s="11" t="n">
        <f aca="false">IF(H723&lt;0,-1E+099,A723-E723-M723+J723+(E723+F723)*Calculator!$B$9)</f>
        <v>344570</v>
      </c>
      <c r="O723" s="2"/>
      <c r="P723" s="11" t="n">
        <f aca="false">710*$B$3</f>
        <v>355000</v>
      </c>
      <c r="Q723" s="11" t="n">
        <f aca="false">MIN(P723,'Tax Tables'!$B$31*'Tax Tables'!$B$32)</f>
        <v>96000</v>
      </c>
      <c r="R723" s="11" t="n">
        <f aca="false">P723-Q723</f>
        <v>259000</v>
      </c>
      <c r="S723" s="11" t="n">
        <f aca="false">IF(Calculator!$B$6="Yes",MIN(Q723,'Tax Tables'!$B$31*'Tax Tables'!$B$32),0)</f>
        <v>96000</v>
      </c>
      <c r="T723" s="11" t="n">
        <f aca="false">S723*Calculator!$B$7</f>
        <v>19200</v>
      </c>
      <c r="U723" s="11" t="n">
        <f aca="false">S723*Calculator!$B$8</f>
        <v>16320</v>
      </c>
      <c r="V723" s="11" t="n">
        <f aca="false">IF(Q723&gt;0,'Tax Tables'!$B$32*MIN(MAX(Q723/'Tax Tables'!$B$32*'Tax Tables'!$B$33,'Tax Tables'!$B$34),'Tax Tables'!$B$35),0)</f>
        <v>135</v>
      </c>
      <c r="W723" s="11" t="n">
        <f aca="false">Calculator!$B$5-P723-U723-V723</f>
        <v>28545</v>
      </c>
      <c r="X723" s="11" t="n">
        <f aca="false">'Tax Tables'!$B$22*(MAX(W723,0)-IF(Calculator!$B$10="Yes",MIN(MAX(W723,0),'Tax Tables'!$B$27)*'Tax Tables'!$B$28+MIN(MAX(MAX(W723,0)-'Tax Tables'!$B$27,0),'Tax Tables'!$B$29)*'Tax Tables'!$B$30,MIN(MAX(W723,0),'Tax Tables'!$B$23)*'Tax Tables'!$B$24+MIN(MAX(MAX(W723,0)-'Tax Tables'!$B$23,0),'Tax Tables'!$B$25)*'Tax Tables'!$B$26))*1-MIN('Tax Tables'!$B$22*(MAX(W723,0)-IF(Calculator!$B$10="Yes",MIN(MAX(W723,0),'Tax Tables'!$B$27)*'Tax Tables'!$B$28+MIN(MAX(MAX(W723,0)-'Tax Tables'!$B$27,0),'Tax Tables'!$B$29)*'Tax Tables'!$B$30,MIN(MAX(W723,0),'Tax Tables'!$B$23)*'Tax Tables'!$B$24+MIN(MAX(MAX(W723,0)-'Tax Tables'!$B$23,0),'Tax Tables'!$B$25)*'Tax Tables'!$B$26))*Calculator!$B$11,Calculator!$B$12)</f>
        <v>2001.325</v>
      </c>
      <c r="Y723" s="11" t="n">
        <f aca="false">MAX(W723,0)-X723</f>
        <v>26543.675</v>
      </c>
      <c r="Z723" s="11" t="n">
        <f aca="false">MIN(IF(P723&gt;0,Calculator!$B$13,0)+T723+Calculator!$B$14,'Tax Tables'!$B$36)</f>
        <v>20200</v>
      </c>
      <c r="AA723" s="11" t="n">
        <f aca="false">MAX(P723-Z723,0)</f>
        <v>334800</v>
      </c>
      <c r="AB723" s="11" t="n">
        <f aca="false">SUMPRODUCT((AA723&gt;'Tax Tables'!$A$5:$A$17)*(AA723-'Tax Tables'!$A$5:$A$17)*'Tax Tables'!$C$5:$C$17)</f>
        <v>47806</v>
      </c>
      <c r="AC723" s="11" t="n">
        <f aca="false">IF(W723&lt;0,-1E+099,P723-T723-AB723+Y723+(T723+U723)*Calculator!$B$9)</f>
        <v>350057.675</v>
      </c>
    </row>
    <row r="724" customFormat="false" ht="15" hidden="false" customHeight="false" outlineLevel="0" collapsed="false">
      <c r="A724" s="11" t="n">
        <f aca="false">711*$B$3</f>
        <v>355500</v>
      </c>
      <c r="B724" s="11" t="n">
        <f aca="false">0</f>
        <v>0</v>
      </c>
      <c r="C724" s="11" t="n">
        <f aca="false">A724-B724</f>
        <v>355500</v>
      </c>
      <c r="D724" s="11" t="n">
        <f aca="false">IF(Calculator!$B$6="Yes",MIN(B724,'Tax Tables'!$B$31*'Tax Tables'!$B$32),0)</f>
        <v>0</v>
      </c>
      <c r="E724" s="11" t="n">
        <f aca="false">D724*Calculator!$B$7</f>
        <v>0</v>
      </c>
      <c r="F724" s="11" t="n">
        <f aca="false">D724*Calculator!$B$8</f>
        <v>0</v>
      </c>
      <c r="G724" s="11" t="n">
        <f aca="false">IF(B724&gt;0,'Tax Tables'!$B$32*MIN(MAX(B724/'Tax Tables'!$B$32*'Tax Tables'!$B$33,'Tax Tables'!$B$34),'Tax Tables'!$B$35),0)</f>
        <v>0</v>
      </c>
      <c r="H724" s="11" t="n">
        <f aca="false">Calculator!$B$5-A724-F724-G724</f>
        <v>44500</v>
      </c>
      <c r="I724" s="11" t="n">
        <f aca="false">'Tax Tables'!$B$22*(MAX(H724,0)-IF(Calculator!$B$10="Yes",MIN(MAX(H724,0),'Tax Tables'!$B$27)*'Tax Tables'!$B$28+MIN(MAX(MAX(H724,0)-'Tax Tables'!$B$27,0),'Tax Tables'!$B$29)*'Tax Tables'!$B$30,MIN(MAX(H724,0),'Tax Tables'!$B$23)*'Tax Tables'!$B$24+MIN(MAX(MAX(H724,0)-'Tax Tables'!$B$23,0),'Tax Tables'!$B$25)*'Tax Tables'!$B$26))*1-MIN('Tax Tables'!$B$22*(MAX(H724,0)-IF(Calculator!$B$10="Yes",MIN(MAX(H724,0),'Tax Tables'!$B$27)*'Tax Tables'!$B$28+MIN(MAX(MAX(H724,0)-'Tax Tables'!$B$27,0),'Tax Tables'!$B$29)*'Tax Tables'!$B$30,MIN(MAX(H724,0),'Tax Tables'!$B$23)*'Tax Tables'!$B$24+MIN(MAX(MAX(H724,0)-'Tax Tables'!$B$23,0),'Tax Tables'!$B$25)*'Tax Tables'!$B$26))*Calculator!$B$11,Calculator!$B$12)</f>
        <v>3357.5</v>
      </c>
      <c r="J724" s="11" t="n">
        <f aca="false">MAX(H724,0)-I724</f>
        <v>41142.5</v>
      </c>
      <c r="K724" s="11" t="n">
        <f aca="false">MIN(IF(A724&gt;0,Calculator!$B$13,0)+E724+Calculator!$B$14,'Tax Tables'!$B$36)</f>
        <v>1000</v>
      </c>
      <c r="L724" s="11" t="n">
        <f aca="false">MAX(A724-K724,0)</f>
        <v>354500</v>
      </c>
      <c r="M724" s="11" t="n">
        <f aca="false">SUMPRODUCT((L724&gt;'Tax Tables'!$A$5:$A$17)*(L724-'Tax Tables'!$A$5:$A$17)*'Tax Tables'!$C$5:$C$17)</f>
        <v>52140</v>
      </c>
      <c r="N724" s="11" t="n">
        <f aca="false">IF(H724&lt;0,-1E+099,A724-E724-M724+J724+(E724+F724)*Calculator!$B$9)</f>
        <v>344502.5</v>
      </c>
      <c r="O724" s="2"/>
      <c r="P724" s="11" t="n">
        <f aca="false">711*$B$3</f>
        <v>355500</v>
      </c>
      <c r="Q724" s="11" t="n">
        <f aca="false">MIN(P724,'Tax Tables'!$B$31*'Tax Tables'!$B$32)</f>
        <v>96000</v>
      </c>
      <c r="R724" s="11" t="n">
        <f aca="false">P724-Q724</f>
        <v>259500</v>
      </c>
      <c r="S724" s="11" t="n">
        <f aca="false">IF(Calculator!$B$6="Yes",MIN(Q724,'Tax Tables'!$B$31*'Tax Tables'!$B$32),0)</f>
        <v>96000</v>
      </c>
      <c r="T724" s="11" t="n">
        <f aca="false">S724*Calculator!$B$7</f>
        <v>19200</v>
      </c>
      <c r="U724" s="11" t="n">
        <f aca="false">S724*Calculator!$B$8</f>
        <v>16320</v>
      </c>
      <c r="V724" s="11" t="n">
        <f aca="false">IF(Q724&gt;0,'Tax Tables'!$B$32*MIN(MAX(Q724/'Tax Tables'!$B$32*'Tax Tables'!$B$33,'Tax Tables'!$B$34),'Tax Tables'!$B$35),0)</f>
        <v>135</v>
      </c>
      <c r="W724" s="11" t="n">
        <f aca="false">Calculator!$B$5-P724-U724-V724</f>
        <v>28045</v>
      </c>
      <c r="X724" s="11" t="n">
        <f aca="false">'Tax Tables'!$B$22*(MAX(W724,0)-IF(Calculator!$B$10="Yes",MIN(MAX(W724,0),'Tax Tables'!$B$27)*'Tax Tables'!$B$28+MIN(MAX(MAX(W724,0)-'Tax Tables'!$B$27,0),'Tax Tables'!$B$29)*'Tax Tables'!$B$30,MIN(MAX(W724,0),'Tax Tables'!$B$23)*'Tax Tables'!$B$24+MIN(MAX(MAX(W724,0)-'Tax Tables'!$B$23,0),'Tax Tables'!$B$25)*'Tax Tables'!$B$26))*1-MIN('Tax Tables'!$B$22*(MAX(W724,0)-IF(Calculator!$B$10="Yes",MIN(MAX(W724,0),'Tax Tables'!$B$27)*'Tax Tables'!$B$28+MIN(MAX(MAX(W724,0)-'Tax Tables'!$B$27,0),'Tax Tables'!$B$29)*'Tax Tables'!$B$30,MIN(MAX(W724,0),'Tax Tables'!$B$23)*'Tax Tables'!$B$24+MIN(MAX(MAX(W724,0)-'Tax Tables'!$B$23,0),'Tax Tables'!$B$25)*'Tax Tables'!$B$26))*Calculator!$B$11,Calculator!$B$12)</f>
        <v>1958.825</v>
      </c>
      <c r="Y724" s="11" t="n">
        <f aca="false">MAX(W724,0)-X724</f>
        <v>26086.175</v>
      </c>
      <c r="Z724" s="11" t="n">
        <f aca="false">MIN(IF(P724&gt;0,Calculator!$B$13,0)+T724+Calculator!$B$14,'Tax Tables'!$B$36)</f>
        <v>20200</v>
      </c>
      <c r="AA724" s="11" t="n">
        <f aca="false">MAX(P724-Z724,0)</f>
        <v>335300</v>
      </c>
      <c r="AB724" s="11" t="n">
        <f aca="false">SUMPRODUCT((AA724&gt;'Tax Tables'!$A$5:$A$17)*(AA724-'Tax Tables'!$A$5:$A$17)*'Tax Tables'!$C$5:$C$17)</f>
        <v>47916</v>
      </c>
      <c r="AC724" s="11" t="n">
        <f aca="false">IF(W724&lt;0,-1E+099,P724-T724-AB724+Y724+(T724+U724)*Calculator!$B$9)</f>
        <v>349990.175</v>
      </c>
    </row>
    <row r="725" customFormat="false" ht="15" hidden="false" customHeight="false" outlineLevel="0" collapsed="false">
      <c r="A725" s="11" t="n">
        <f aca="false">712*$B$3</f>
        <v>356000</v>
      </c>
      <c r="B725" s="11" t="n">
        <f aca="false">0</f>
        <v>0</v>
      </c>
      <c r="C725" s="11" t="n">
        <f aca="false">A725-B725</f>
        <v>356000</v>
      </c>
      <c r="D725" s="11" t="n">
        <f aca="false">IF(Calculator!$B$6="Yes",MIN(B725,'Tax Tables'!$B$31*'Tax Tables'!$B$32),0)</f>
        <v>0</v>
      </c>
      <c r="E725" s="11" t="n">
        <f aca="false">D725*Calculator!$B$7</f>
        <v>0</v>
      </c>
      <c r="F725" s="11" t="n">
        <f aca="false">D725*Calculator!$B$8</f>
        <v>0</v>
      </c>
      <c r="G725" s="11" t="n">
        <f aca="false">IF(B725&gt;0,'Tax Tables'!$B$32*MIN(MAX(B725/'Tax Tables'!$B$32*'Tax Tables'!$B$33,'Tax Tables'!$B$34),'Tax Tables'!$B$35),0)</f>
        <v>0</v>
      </c>
      <c r="H725" s="11" t="n">
        <f aca="false">Calculator!$B$5-A725-F725-G725</f>
        <v>44000</v>
      </c>
      <c r="I725" s="11" t="n">
        <f aca="false">'Tax Tables'!$B$22*(MAX(H725,0)-IF(Calculator!$B$10="Yes",MIN(MAX(H725,0),'Tax Tables'!$B$27)*'Tax Tables'!$B$28+MIN(MAX(MAX(H725,0)-'Tax Tables'!$B$27,0),'Tax Tables'!$B$29)*'Tax Tables'!$B$30,MIN(MAX(H725,0),'Tax Tables'!$B$23)*'Tax Tables'!$B$24+MIN(MAX(MAX(H725,0)-'Tax Tables'!$B$23,0),'Tax Tables'!$B$25)*'Tax Tables'!$B$26))*1-MIN('Tax Tables'!$B$22*(MAX(H725,0)-IF(Calculator!$B$10="Yes",MIN(MAX(H725,0),'Tax Tables'!$B$27)*'Tax Tables'!$B$28+MIN(MAX(MAX(H725,0)-'Tax Tables'!$B$27,0),'Tax Tables'!$B$29)*'Tax Tables'!$B$30,MIN(MAX(H725,0),'Tax Tables'!$B$23)*'Tax Tables'!$B$24+MIN(MAX(MAX(H725,0)-'Tax Tables'!$B$23,0),'Tax Tables'!$B$25)*'Tax Tables'!$B$26))*Calculator!$B$11,Calculator!$B$12)</f>
        <v>3315</v>
      </c>
      <c r="J725" s="11" t="n">
        <f aca="false">MAX(H725,0)-I725</f>
        <v>40685</v>
      </c>
      <c r="K725" s="11" t="n">
        <f aca="false">MIN(IF(A725&gt;0,Calculator!$B$13,0)+E725+Calculator!$B$14,'Tax Tables'!$B$36)</f>
        <v>1000</v>
      </c>
      <c r="L725" s="11" t="n">
        <f aca="false">MAX(A725-K725,0)</f>
        <v>355000</v>
      </c>
      <c r="M725" s="11" t="n">
        <f aca="false">SUMPRODUCT((L725&gt;'Tax Tables'!$A$5:$A$17)*(L725-'Tax Tables'!$A$5:$A$17)*'Tax Tables'!$C$5:$C$17)</f>
        <v>52250</v>
      </c>
      <c r="N725" s="11" t="n">
        <f aca="false">IF(H725&lt;0,-1E+099,A725-E725-M725+J725+(E725+F725)*Calculator!$B$9)</f>
        <v>344435</v>
      </c>
      <c r="O725" s="2"/>
      <c r="P725" s="11" t="n">
        <f aca="false">712*$B$3</f>
        <v>356000</v>
      </c>
      <c r="Q725" s="11" t="n">
        <f aca="false">MIN(P725,'Tax Tables'!$B$31*'Tax Tables'!$B$32)</f>
        <v>96000</v>
      </c>
      <c r="R725" s="11" t="n">
        <f aca="false">P725-Q725</f>
        <v>260000</v>
      </c>
      <c r="S725" s="11" t="n">
        <f aca="false">IF(Calculator!$B$6="Yes",MIN(Q725,'Tax Tables'!$B$31*'Tax Tables'!$B$32),0)</f>
        <v>96000</v>
      </c>
      <c r="T725" s="11" t="n">
        <f aca="false">S725*Calculator!$B$7</f>
        <v>19200</v>
      </c>
      <c r="U725" s="11" t="n">
        <f aca="false">S725*Calculator!$B$8</f>
        <v>16320</v>
      </c>
      <c r="V725" s="11" t="n">
        <f aca="false">IF(Q725&gt;0,'Tax Tables'!$B$32*MIN(MAX(Q725/'Tax Tables'!$B$32*'Tax Tables'!$B$33,'Tax Tables'!$B$34),'Tax Tables'!$B$35),0)</f>
        <v>135</v>
      </c>
      <c r="W725" s="11" t="n">
        <f aca="false">Calculator!$B$5-P725-U725-V725</f>
        <v>27545</v>
      </c>
      <c r="X725" s="11" t="n">
        <f aca="false">'Tax Tables'!$B$22*(MAX(W725,0)-IF(Calculator!$B$10="Yes",MIN(MAX(W725,0),'Tax Tables'!$B$27)*'Tax Tables'!$B$28+MIN(MAX(MAX(W725,0)-'Tax Tables'!$B$27,0),'Tax Tables'!$B$29)*'Tax Tables'!$B$30,MIN(MAX(W725,0),'Tax Tables'!$B$23)*'Tax Tables'!$B$24+MIN(MAX(MAX(W725,0)-'Tax Tables'!$B$23,0),'Tax Tables'!$B$25)*'Tax Tables'!$B$26))*1-MIN('Tax Tables'!$B$22*(MAX(W725,0)-IF(Calculator!$B$10="Yes",MIN(MAX(W725,0),'Tax Tables'!$B$27)*'Tax Tables'!$B$28+MIN(MAX(MAX(W725,0)-'Tax Tables'!$B$27,0),'Tax Tables'!$B$29)*'Tax Tables'!$B$30,MIN(MAX(W725,0),'Tax Tables'!$B$23)*'Tax Tables'!$B$24+MIN(MAX(MAX(W725,0)-'Tax Tables'!$B$23,0),'Tax Tables'!$B$25)*'Tax Tables'!$B$26))*Calculator!$B$11,Calculator!$B$12)</f>
        <v>1916.325</v>
      </c>
      <c r="Y725" s="11" t="n">
        <f aca="false">MAX(W725,0)-X725</f>
        <v>25628.675</v>
      </c>
      <c r="Z725" s="11" t="n">
        <f aca="false">MIN(IF(P725&gt;0,Calculator!$B$13,0)+T725+Calculator!$B$14,'Tax Tables'!$B$36)</f>
        <v>20200</v>
      </c>
      <c r="AA725" s="11" t="n">
        <f aca="false">MAX(P725-Z725,0)</f>
        <v>335800</v>
      </c>
      <c r="AB725" s="11" t="n">
        <f aca="false">SUMPRODUCT((AA725&gt;'Tax Tables'!$A$5:$A$17)*(AA725-'Tax Tables'!$A$5:$A$17)*'Tax Tables'!$C$5:$C$17)</f>
        <v>48026</v>
      </c>
      <c r="AC725" s="11" t="n">
        <f aca="false">IF(W725&lt;0,-1E+099,P725-T725-AB725+Y725+(T725+U725)*Calculator!$B$9)</f>
        <v>349922.675</v>
      </c>
    </row>
    <row r="726" customFormat="false" ht="15" hidden="false" customHeight="false" outlineLevel="0" collapsed="false">
      <c r="A726" s="11" t="n">
        <f aca="false">713*$B$3</f>
        <v>356500</v>
      </c>
      <c r="B726" s="11" t="n">
        <f aca="false">0</f>
        <v>0</v>
      </c>
      <c r="C726" s="11" t="n">
        <f aca="false">A726-B726</f>
        <v>356500</v>
      </c>
      <c r="D726" s="11" t="n">
        <f aca="false">IF(Calculator!$B$6="Yes",MIN(B726,'Tax Tables'!$B$31*'Tax Tables'!$B$32),0)</f>
        <v>0</v>
      </c>
      <c r="E726" s="11" t="n">
        <f aca="false">D726*Calculator!$B$7</f>
        <v>0</v>
      </c>
      <c r="F726" s="11" t="n">
        <f aca="false">D726*Calculator!$B$8</f>
        <v>0</v>
      </c>
      <c r="G726" s="11" t="n">
        <f aca="false">IF(B726&gt;0,'Tax Tables'!$B$32*MIN(MAX(B726/'Tax Tables'!$B$32*'Tax Tables'!$B$33,'Tax Tables'!$B$34),'Tax Tables'!$B$35),0)</f>
        <v>0</v>
      </c>
      <c r="H726" s="11" t="n">
        <f aca="false">Calculator!$B$5-A726-F726-G726</f>
        <v>43500</v>
      </c>
      <c r="I726" s="11" t="n">
        <f aca="false">'Tax Tables'!$B$22*(MAX(H726,0)-IF(Calculator!$B$10="Yes",MIN(MAX(H726,0),'Tax Tables'!$B$27)*'Tax Tables'!$B$28+MIN(MAX(MAX(H726,0)-'Tax Tables'!$B$27,0),'Tax Tables'!$B$29)*'Tax Tables'!$B$30,MIN(MAX(H726,0),'Tax Tables'!$B$23)*'Tax Tables'!$B$24+MIN(MAX(MAX(H726,0)-'Tax Tables'!$B$23,0),'Tax Tables'!$B$25)*'Tax Tables'!$B$26))*1-MIN('Tax Tables'!$B$22*(MAX(H726,0)-IF(Calculator!$B$10="Yes",MIN(MAX(H726,0),'Tax Tables'!$B$27)*'Tax Tables'!$B$28+MIN(MAX(MAX(H726,0)-'Tax Tables'!$B$27,0),'Tax Tables'!$B$29)*'Tax Tables'!$B$30,MIN(MAX(H726,0),'Tax Tables'!$B$23)*'Tax Tables'!$B$24+MIN(MAX(MAX(H726,0)-'Tax Tables'!$B$23,0),'Tax Tables'!$B$25)*'Tax Tables'!$B$26))*Calculator!$B$11,Calculator!$B$12)</f>
        <v>3272.5</v>
      </c>
      <c r="J726" s="11" t="n">
        <f aca="false">MAX(H726,0)-I726</f>
        <v>40227.5</v>
      </c>
      <c r="K726" s="11" t="n">
        <f aca="false">MIN(IF(A726&gt;0,Calculator!$B$13,0)+E726+Calculator!$B$14,'Tax Tables'!$B$36)</f>
        <v>1000</v>
      </c>
      <c r="L726" s="11" t="n">
        <f aca="false">MAX(A726-K726,0)</f>
        <v>355500</v>
      </c>
      <c r="M726" s="11" t="n">
        <f aca="false">SUMPRODUCT((L726&gt;'Tax Tables'!$A$5:$A$17)*(L726-'Tax Tables'!$A$5:$A$17)*'Tax Tables'!$C$5:$C$17)</f>
        <v>52360</v>
      </c>
      <c r="N726" s="11" t="n">
        <f aca="false">IF(H726&lt;0,-1E+099,A726-E726-M726+J726+(E726+F726)*Calculator!$B$9)</f>
        <v>344367.5</v>
      </c>
      <c r="O726" s="2"/>
      <c r="P726" s="11" t="n">
        <f aca="false">713*$B$3</f>
        <v>356500</v>
      </c>
      <c r="Q726" s="11" t="n">
        <f aca="false">MIN(P726,'Tax Tables'!$B$31*'Tax Tables'!$B$32)</f>
        <v>96000</v>
      </c>
      <c r="R726" s="11" t="n">
        <f aca="false">P726-Q726</f>
        <v>260500</v>
      </c>
      <c r="S726" s="11" t="n">
        <f aca="false">IF(Calculator!$B$6="Yes",MIN(Q726,'Tax Tables'!$B$31*'Tax Tables'!$B$32),0)</f>
        <v>96000</v>
      </c>
      <c r="T726" s="11" t="n">
        <f aca="false">S726*Calculator!$B$7</f>
        <v>19200</v>
      </c>
      <c r="U726" s="11" t="n">
        <f aca="false">S726*Calculator!$B$8</f>
        <v>16320</v>
      </c>
      <c r="V726" s="11" t="n">
        <f aca="false">IF(Q726&gt;0,'Tax Tables'!$B$32*MIN(MAX(Q726/'Tax Tables'!$B$32*'Tax Tables'!$B$33,'Tax Tables'!$B$34),'Tax Tables'!$B$35),0)</f>
        <v>135</v>
      </c>
      <c r="W726" s="11" t="n">
        <f aca="false">Calculator!$B$5-P726-U726-V726</f>
        <v>27045</v>
      </c>
      <c r="X726" s="11" t="n">
        <f aca="false">'Tax Tables'!$B$22*(MAX(W726,0)-IF(Calculator!$B$10="Yes",MIN(MAX(W726,0),'Tax Tables'!$B$27)*'Tax Tables'!$B$28+MIN(MAX(MAX(W726,0)-'Tax Tables'!$B$27,0),'Tax Tables'!$B$29)*'Tax Tables'!$B$30,MIN(MAX(W726,0),'Tax Tables'!$B$23)*'Tax Tables'!$B$24+MIN(MAX(MAX(W726,0)-'Tax Tables'!$B$23,0),'Tax Tables'!$B$25)*'Tax Tables'!$B$26))*1-MIN('Tax Tables'!$B$22*(MAX(W726,0)-IF(Calculator!$B$10="Yes",MIN(MAX(W726,0),'Tax Tables'!$B$27)*'Tax Tables'!$B$28+MIN(MAX(MAX(W726,0)-'Tax Tables'!$B$27,0),'Tax Tables'!$B$29)*'Tax Tables'!$B$30,MIN(MAX(W726,0),'Tax Tables'!$B$23)*'Tax Tables'!$B$24+MIN(MAX(MAX(W726,0)-'Tax Tables'!$B$23,0),'Tax Tables'!$B$25)*'Tax Tables'!$B$26))*Calculator!$B$11,Calculator!$B$12)</f>
        <v>1873.825</v>
      </c>
      <c r="Y726" s="11" t="n">
        <f aca="false">MAX(W726,0)-X726</f>
        <v>25171.175</v>
      </c>
      <c r="Z726" s="11" t="n">
        <f aca="false">MIN(IF(P726&gt;0,Calculator!$B$13,0)+T726+Calculator!$B$14,'Tax Tables'!$B$36)</f>
        <v>20200</v>
      </c>
      <c r="AA726" s="11" t="n">
        <f aca="false">MAX(P726-Z726,0)</f>
        <v>336300</v>
      </c>
      <c r="AB726" s="11" t="n">
        <f aca="false">SUMPRODUCT((AA726&gt;'Tax Tables'!$A$5:$A$17)*(AA726-'Tax Tables'!$A$5:$A$17)*'Tax Tables'!$C$5:$C$17)</f>
        <v>48136</v>
      </c>
      <c r="AC726" s="11" t="n">
        <f aca="false">IF(W726&lt;0,-1E+099,P726-T726-AB726+Y726+(T726+U726)*Calculator!$B$9)</f>
        <v>349855.175</v>
      </c>
    </row>
    <row r="727" customFormat="false" ht="15" hidden="false" customHeight="false" outlineLevel="0" collapsed="false">
      <c r="A727" s="11" t="n">
        <f aca="false">714*$B$3</f>
        <v>357000</v>
      </c>
      <c r="B727" s="11" t="n">
        <f aca="false">0</f>
        <v>0</v>
      </c>
      <c r="C727" s="11" t="n">
        <f aca="false">A727-B727</f>
        <v>357000</v>
      </c>
      <c r="D727" s="11" t="n">
        <f aca="false">IF(Calculator!$B$6="Yes",MIN(B727,'Tax Tables'!$B$31*'Tax Tables'!$B$32),0)</f>
        <v>0</v>
      </c>
      <c r="E727" s="11" t="n">
        <f aca="false">D727*Calculator!$B$7</f>
        <v>0</v>
      </c>
      <c r="F727" s="11" t="n">
        <f aca="false">D727*Calculator!$B$8</f>
        <v>0</v>
      </c>
      <c r="G727" s="11" t="n">
        <f aca="false">IF(B727&gt;0,'Tax Tables'!$B$32*MIN(MAX(B727/'Tax Tables'!$B$32*'Tax Tables'!$B$33,'Tax Tables'!$B$34),'Tax Tables'!$B$35),0)</f>
        <v>0</v>
      </c>
      <c r="H727" s="11" t="n">
        <f aca="false">Calculator!$B$5-A727-F727-G727</f>
        <v>43000</v>
      </c>
      <c r="I727" s="11" t="n">
        <f aca="false">'Tax Tables'!$B$22*(MAX(H727,0)-IF(Calculator!$B$10="Yes",MIN(MAX(H727,0),'Tax Tables'!$B$27)*'Tax Tables'!$B$28+MIN(MAX(MAX(H727,0)-'Tax Tables'!$B$27,0),'Tax Tables'!$B$29)*'Tax Tables'!$B$30,MIN(MAX(H727,0),'Tax Tables'!$B$23)*'Tax Tables'!$B$24+MIN(MAX(MAX(H727,0)-'Tax Tables'!$B$23,0),'Tax Tables'!$B$25)*'Tax Tables'!$B$26))*1-MIN('Tax Tables'!$B$22*(MAX(H727,0)-IF(Calculator!$B$10="Yes",MIN(MAX(H727,0),'Tax Tables'!$B$27)*'Tax Tables'!$B$28+MIN(MAX(MAX(H727,0)-'Tax Tables'!$B$27,0),'Tax Tables'!$B$29)*'Tax Tables'!$B$30,MIN(MAX(H727,0),'Tax Tables'!$B$23)*'Tax Tables'!$B$24+MIN(MAX(MAX(H727,0)-'Tax Tables'!$B$23,0),'Tax Tables'!$B$25)*'Tax Tables'!$B$26))*Calculator!$B$11,Calculator!$B$12)</f>
        <v>3230</v>
      </c>
      <c r="J727" s="11" t="n">
        <f aca="false">MAX(H727,0)-I727</f>
        <v>39770</v>
      </c>
      <c r="K727" s="11" t="n">
        <f aca="false">MIN(IF(A727&gt;0,Calculator!$B$13,0)+E727+Calculator!$B$14,'Tax Tables'!$B$36)</f>
        <v>1000</v>
      </c>
      <c r="L727" s="11" t="n">
        <f aca="false">MAX(A727-K727,0)</f>
        <v>356000</v>
      </c>
      <c r="M727" s="11" t="n">
        <f aca="false">SUMPRODUCT((L727&gt;'Tax Tables'!$A$5:$A$17)*(L727-'Tax Tables'!$A$5:$A$17)*'Tax Tables'!$C$5:$C$17)</f>
        <v>52470</v>
      </c>
      <c r="N727" s="11" t="n">
        <f aca="false">IF(H727&lt;0,-1E+099,A727-E727-M727+J727+(E727+F727)*Calculator!$B$9)</f>
        <v>344300</v>
      </c>
      <c r="O727" s="2"/>
      <c r="P727" s="11" t="n">
        <f aca="false">714*$B$3</f>
        <v>357000</v>
      </c>
      <c r="Q727" s="11" t="n">
        <f aca="false">MIN(P727,'Tax Tables'!$B$31*'Tax Tables'!$B$32)</f>
        <v>96000</v>
      </c>
      <c r="R727" s="11" t="n">
        <f aca="false">P727-Q727</f>
        <v>261000</v>
      </c>
      <c r="S727" s="11" t="n">
        <f aca="false">IF(Calculator!$B$6="Yes",MIN(Q727,'Tax Tables'!$B$31*'Tax Tables'!$B$32),0)</f>
        <v>96000</v>
      </c>
      <c r="T727" s="11" t="n">
        <f aca="false">S727*Calculator!$B$7</f>
        <v>19200</v>
      </c>
      <c r="U727" s="11" t="n">
        <f aca="false">S727*Calculator!$B$8</f>
        <v>16320</v>
      </c>
      <c r="V727" s="11" t="n">
        <f aca="false">IF(Q727&gt;0,'Tax Tables'!$B$32*MIN(MAX(Q727/'Tax Tables'!$B$32*'Tax Tables'!$B$33,'Tax Tables'!$B$34),'Tax Tables'!$B$35),0)</f>
        <v>135</v>
      </c>
      <c r="W727" s="11" t="n">
        <f aca="false">Calculator!$B$5-P727-U727-V727</f>
        <v>26545</v>
      </c>
      <c r="X727" s="11" t="n">
        <f aca="false">'Tax Tables'!$B$22*(MAX(W727,0)-IF(Calculator!$B$10="Yes",MIN(MAX(W727,0),'Tax Tables'!$B$27)*'Tax Tables'!$B$28+MIN(MAX(MAX(W727,0)-'Tax Tables'!$B$27,0),'Tax Tables'!$B$29)*'Tax Tables'!$B$30,MIN(MAX(W727,0),'Tax Tables'!$B$23)*'Tax Tables'!$B$24+MIN(MAX(MAX(W727,0)-'Tax Tables'!$B$23,0),'Tax Tables'!$B$25)*'Tax Tables'!$B$26))*1-MIN('Tax Tables'!$B$22*(MAX(W727,0)-IF(Calculator!$B$10="Yes",MIN(MAX(W727,0),'Tax Tables'!$B$27)*'Tax Tables'!$B$28+MIN(MAX(MAX(W727,0)-'Tax Tables'!$B$27,0),'Tax Tables'!$B$29)*'Tax Tables'!$B$30,MIN(MAX(W727,0),'Tax Tables'!$B$23)*'Tax Tables'!$B$24+MIN(MAX(MAX(W727,0)-'Tax Tables'!$B$23,0),'Tax Tables'!$B$25)*'Tax Tables'!$B$26))*Calculator!$B$11,Calculator!$B$12)</f>
        <v>1831.325</v>
      </c>
      <c r="Y727" s="11" t="n">
        <f aca="false">MAX(W727,0)-X727</f>
        <v>24713.675</v>
      </c>
      <c r="Z727" s="11" t="n">
        <f aca="false">MIN(IF(P727&gt;0,Calculator!$B$13,0)+T727+Calculator!$B$14,'Tax Tables'!$B$36)</f>
        <v>20200</v>
      </c>
      <c r="AA727" s="11" t="n">
        <f aca="false">MAX(P727-Z727,0)</f>
        <v>336800</v>
      </c>
      <c r="AB727" s="11" t="n">
        <f aca="false">SUMPRODUCT((AA727&gt;'Tax Tables'!$A$5:$A$17)*(AA727-'Tax Tables'!$A$5:$A$17)*'Tax Tables'!$C$5:$C$17)</f>
        <v>48246</v>
      </c>
      <c r="AC727" s="11" t="n">
        <f aca="false">IF(W727&lt;0,-1E+099,P727-T727-AB727+Y727+(T727+U727)*Calculator!$B$9)</f>
        <v>349787.675</v>
      </c>
    </row>
    <row r="728" customFormat="false" ht="15" hidden="false" customHeight="false" outlineLevel="0" collapsed="false">
      <c r="A728" s="11" t="n">
        <f aca="false">715*$B$3</f>
        <v>357500</v>
      </c>
      <c r="B728" s="11" t="n">
        <f aca="false">0</f>
        <v>0</v>
      </c>
      <c r="C728" s="11" t="n">
        <f aca="false">A728-B728</f>
        <v>357500</v>
      </c>
      <c r="D728" s="11" t="n">
        <f aca="false">IF(Calculator!$B$6="Yes",MIN(B728,'Tax Tables'!$B$31*'Tax Tables'!$B$32),0)</f>
        <v>0</v>
      </c>
      <c r="E728" s="11" t="n">
        <f aca="false">D728*Calculator!$B$7</f>
        <v>0</v>
      </c>
      <c r="F728" s="11" t="n">
        <f aca="false">D728*Calculator!$B$8</f>
        <v>0</v>
      </c>
      <c r="G728" s="11" t="n">
        <f aca="false">IF(B728&gt;0,'Tax Tables'!$B$32*MIN(MAX(B728/'Tax Tables'!$B$32*'Tax Tables'!$B$33,'Tax Tables'!$B$34),'Tax Tables'!$B$35),0)</f>
        <v>0</v>
      </c>
      <c r="H728" s="11" t="n">
        <f aca="false">Calculator!$B$5-A728-F728-G728</f>
        <v>42500</v>
      </c>
      <c r="I728" s="11" t="n">
        <f aca="false">'Tax Tables'!$B$22*(MAX(H728,0)-IF(Calculator!$B$10="Yes",MIN(MAX(H728,0),'Tax Tables'!$B$27)*'Tax Tables'!$B$28+MIN(MAX(MAX(H728,0)-'Tax Tables'!$B$27,0),'Tax Tables'!$B$29)*'Tax Tables'!$B$30,MIN(MAX(H728,0),'Tax Tables'!$B$23)*'Tax Tables'!$B$24+MIN(MAX(MAX(H728,0)-'Tax Tables'!$B$23,0),'Tax Tables'!$B$25)*'Tax Tables'!$B$26))*1-MIN('Tax Tables'!$B$22*(MAX(H728,0)-IF(Calculator!$B$10="Yes",MIN(MAX(H728,0),'Tax Tables'!$B$27)*'Tax Tables'!$B$28+MIN(MAX(MAX(H728,0)-'Tax Tables'!$B$27,0),'Tax Tables'!$B$29)*'Tax Tables'!$B$30,MIN(MAX(H728,0),'Tax Tables'!$B$23)*'Tax Tables'!$B$24+MIN(MAX(MAX(H728,0)-'Tax Tables'!$B$23,0),'Tax Tables'!$B$25)*'Tax Tables'!$B$26))*Calculator!$B$11,Calculator!$B$12)</f>
        <v>3187.5</v>
      </c>
      <c r="J728" s="11" t="n">
        <f aca="false">MAX(H728,0)-I728</f>
        <v>39312.5</v>
      </c>
      <c r="K728" s="11" t="n">
        <f aca="false">MIN(IF(A728&gt;0,Calculator!$B$13,0)+E728+Calculator!$B$14,'Tax Tables'!$B$36)</f>
        <v>1000</v>
      </c>
      <c r="L728" s="11" t="n">
        <f aca="false">MAX(A728-K728,0)</f>
        <v>356500</v>
      </c>
      <c r="M728" s="11" t="n">
        <f aca="false">SUMPRODUCT((L728&gt;'Tax Tables'!$A$5:$A$17)*(L728-'Tax Tables'!$A$5:$A$17)*'Tax Tables'!$C$5:$C$17)</f>
        <v>52580</v>
      </c>
      <c r="N728" s="11" t="n">
        <f aca="false">IF(H728&lt;0,-1E+099,A728-E728-M728+J728+(E728+F728)*Calculator!$B$9)</f>
        <v>344232.5</v>
      </c>
      <c r="O728" s="2"/>
      <c r="P728" s="11" t="n">
        <f aca="false">715*$B$3</f>
        <v>357500</v>
      </c>
      <c r="Q728" s="11" t="n">
        <f aca="false">MIN(P728,'Tax Tables'!$B$31*'Tax Tables'!$B$32)</f>
        <v>96000</v>
      </c>
      <c r="R728" s="11" t="n">
        <f aca="false">P728-Q728</f>
        <v>261500</v>
      </c>
      <c r="S728" s="11" t="n">
        <f aca="false">IF(Calculator!$B$6="Yes",MIN(Q728,'Tax Tables'!$B$31*'Tax Tables'!$B$32),0)</f>
        <v>96000</v>
      </c>
      <c r="T728" s="11" t="n">
        <f aca="false">S728*Calculator!$B$7</f>
        <v>19200</v>
      </c>
      <c r="U728" s="11" t="n">
        <f aca="false">S728*Calculator!$B$8</f>
        <v>16320</v>
      </c>
      <c r="V728" s="11" t="n">
        <f aca="false">IF(Q728&gt;0,'Tax Tables'!$B$32*MIN(MAX(Q728/'Tax Tables'!$B$32*'Tax Tables'!$B$33,'Tax Tables'!$B$34),'Tax Tables'!$B$35),0)</f>
        <v>135</v>
      </c>
      <c r="W728" s="11" t="n">
        <f aca="false">Calculator!$B$5-P728-U728-V728</f>
        <v>26045</v>
      </c>
      <c r="X728" s="11" t="n">
        <f aca="false">'Tax Tables'!$B$22*(MAX(W728,0)-IF(Calculator!$B$10="Yes",MIN(MAX(W728,0),'Tax Tables'!$B$27)*'Tax Tables'!$B$28+MIN(MAX(MAX(W728,0)-'Tax Tables'!$B$27,0),'Tax Tables'!$B$29)*'Tax Tables'!$B$30,MIN(MAX(W728,0),'Tax Tables'!$B$23)*'Tax Tables'!$B$24+MIN(MAX(MAX(W728,0)-'Tax Tables'!$B$23,0),'Tax Tables'!$B$25)*'Tax Tables'!$B$26))*1-MIN('Tax Tables'!$B$22*(MAX(W728,0)-IF(Calculator!$B$10="Yes",MIN(MAX(W728,0),'Tax Tables'!$B$27)*'Tax Tables'!$B$28+MIN(MAX(MAX(W728,0)-'Tax Tables'!$B$27,0),'Tax Tables'!$B$29)*'Tax Tables'!$B$30,MIN(MAX(W728,0),'Tax Tables'!$B$23)*'Tax Tables'!$B$24+MIN(MAX(MAX(W728,0)-'Tax Tables'!$B$23,0),'Tax Tables'!$B$25)*'Tax Tables'!$B$26))*Calculator!$B$11,Calculator!$B$12)</f>
        <v>1788.825</v>
      </c>
      <c r="Y728" s="11" t="n">
        <f aca="false">MAX(W728,0)-X728</f>
        <v>24256.175</v>
      </c>
      <c r="Z728" s="11" t="n">
        <f aca="false">MIN(IF(P728&gt;0,Calculator!$B$13,0)+T728+Calculator!$B$14,'Tax Tables'!$B$36)</f>
        <v>20200</v>
      </c>
      <c r="AA728" s="11" t="n">
        <f aca="false">MAX(P728-Z728,0)</f>
        <v>337300</v>
      </c>
      <c r="AB728" s="11" t="n">
        <f aca="false">SUMPRODUCT((AA728&gt;'Tax Tables'!$A$5:$A$17)*(AA728-'Tax Tables'!$A$5:$A$17)*'Tax Tables'!$C$5:$C$17)</f>
        <v>48356</v>
      </c>
      <c r="AC728" s="11" t="n">
        <f aca="false">IF(W728&lt;0,-1E+099,P728-T728-AB728+Y728+(T728+U728)*Calculator!$B$9)</f>
        <v>349720.175</v>
      </c>
    </row>
    <row r="729" customFormat="false" ht="15" hidden="false" customHeight="false" outlineLevel="0" collapsed="false">
      <c r="A729" s="11" t="n">
        <f aca="false">716*$B$3</f>
        <v>358000</v>
      </c>
      <c r="B729" s="11" t="n">
        <f aca="false">0</f>
        <v>0</v>
      </c>
      <c r="C729" s="11" t="n">
        <f aca="false">A729-B729</f>
        <v>358000</v>
      </c>
      <c r="D729" s="11" t="n">
        <f aca="false">IF(Calculator!$B$6="Yes",MIN(B729,'Tax Tables'!$B$31*'Tax Tables'!$B$32),0)</f>
        <v>0</v>
      </c>
      <c r="E729" s="11" t="n">
        <f aca="false">D729*Calculator!$B$7</f>
        <v>0</v>
      </c>
      <c r="F729" s="11" t="n">
        <f aca="false">D729*Calculator!$B$8</f>
        <v>0</v>
      </c>
      <c r="G729" s="11" t="n">
        <f aca="false">IF(B729&gt;0,'Tax Tables'!$B$32*MIN(MAX(B729/'Tax Tables'!$B$32*'Tax Tables'!$B$33,'Tax Tables'!$B$34),'Tax Tables'!$B$35),0)</f>
        <v>0</v>
      </c>
      <c r="H729" s="11" t="n">
        <f aca="false">Calculator!$B$5-A729-F729-G729</f>
        <v>42000</v>
      </c>
      <c r="I729" s="11" t="n">
        <f aca="false">'Tax Tables'!$B$22*(MAX(H729,0)-IF(Calculator!$B$10="Yes",MIN(MAX(H729,0),'Tax Tables'!$B$27)*'Tax Tables'!$B$28+MIN(MAX(MAX(H729,0)-'Tax Tables'!$B$27,0),'Tax Tables'!$B$29)*'Tax Tables'!$B$30,MIN(MAX(H729,0),'Tax Tables'!$B$23)*'Tax Tables'!$B$24+MIN(MAX(MAX(H729,0)-'Tax Tables'!$B$23,0),'Tax Tables'!$B$25)*'Tax Tables'!$B$26))*1-MIN('Tax Tables'!$B$22*(MAX(H729,0)-IF(Calculator!$B$10="Yes",MIN(MAX(H729,0),'Tax Tables'!$B$27)*'Tax Tables'!$B$28+MIN(MAX(MAX(H729,0)-'Tax Tables'!$B$27,0),'Tax Tables'!$B$29)*'Tax Tables'!$B$30,MIN(MAX(H729,0),'Tax Tables'!$B$23)*'Tax Tables'!$B$24+MIN(MAX(MAX(H729,0)-'Tax Tables'!$B$23,0),'Tax Tables'!$B$25)*'Tax Tables'!$B$26))*Calculator!$B$11,Calculator!$B$12)</f>
        <v>3145</v>
      </c>
      <c r="J729" s="11" t="n">
        <f aca="false">MAX(H729,0)-I729</f>
        <v>38855</v>
      </c>
      <c r="K729" s="11" t="n">
        <f aca="false">MIN(IF(A729&gt;0,Calculator!$B$13,0)+E729+Calculator!$B$14,'Tax Tables'!$B$36)</f>
        <v>1000</v>
      </c>
      <c r="L729" s="11" t="n">
        <f aca="false">MAX(A729-K729,0)</f>
        <v>357000</v>
      </c>
      <c r="M729" s="11" t="n">
        <f aca="false">SUMPRODUCT((L729&gt;'Tax Tables'!$A$5:$A$17)*(L729-'Tax Tables'!$A$5:$A$17)*'Tax Tables'!$C$5:$C$17)</f>
        <v>52690</v>
      </c>
      <c r="N729" s="11" t="n">
        <f aca="false">IF(H729&lt;0,-1E+099,A729-E729-M729+J729+(E729+F729)*Calculator!$B$9)</f>
        <v>344165</v>
      </c>
      <c r="O729" s="2"/>
      <c r="P729" s="11" t="n">
        <f aca="false">716*$B$3</f>
        <v>358000</v>
      </c>
      <c r="Q729" s="11" t="n">
        <f aca="false">MIN(P729,'Tax Tables'!$B$31*'Tax Tables'!$B$32)</f>
        <v>96000</v>
      </c>
      <c r="R729" s="11" t="n">
        <f aca="false">P729-Q729</f>
        <v>262000</v>
      </c>
      <c r="S729" s="11" t="n">
        <f aca="false">IF(Calculator!$B$6="Yes",MIN(Q729,'Tax Tables'!$B$31*'Tax Tables'!$B$32),0)</f>
        <v>96000</v>
      </c>
      <c r="T729" s="11" t="n">
        <f aca="false">S729*Calculator!$B$7</f>
        <v>19200</v>
      </c>
      <c r="U729" s="11" t="n">
        <f aca="false">S729*Calculator!$B$8</f>
        <v>16320</v>
      </c>
      <c r="V729" s="11" t="n">
        <f aca="false">IF(Q729&gt;0,'Tax Tables'!$B$32*MIN(MAX(Q729/'Tax Tables'!$B$32*'Tax Tables'!$B$33,'Tax Tables'!$B$34),'Tax Tables'!$B$35),0)</f>
        <v>135</v>
      </c>
      <c r="W729" s="11" t="n">
        <f aca="false">Calculator!$B$5-P729-U729-V729</f>
        <v>25545</v>
      </c>
      <c r="X729" s="11" t="n">
        <f aca="false">'Tax Tables'!$B$22*(MAX(W729,0)-IF(Calculator!$B$10="Yes",MIN(MAX(W729,0),'Tax Tables'!$B$27)*'Tax Tables'!$B$28+MIN(MAX(MAX(W729,0)-'Tax Tables'!$B$27,0),'Tax Tables'!$B$29)*'Tax Tables'!$B$30,MIN(MAX(W729,0),'Tax Tables'!$B$23)*'Tax Tables'!$B$24+MIN(MAX(MAX(W729,0)-'Tax Tables'!$B$23,0),'Tax Tables'!$B$25)*'Tax Tables'!$B$26))*1-MIN('Tax Tables'!$B$22*(MAX(W729,0)-IF(Calculator!$B$10="Yes",MIN(MAX(W729,0),'Tax Tables'!$B$27)*'Tax Tables'!$B$28+MIN(MAX(MAX(W729,0)-'Tax Tables'!$B$27,0),'Tax Tables'!$B$29)*'Tax Tables'!$B$30,MIN(MAX(W729,0),'Tax Tables'!$B$23)*'Tax Tables'!$B$24+MIN(MAX(MAX(W729,0)-'Tax Tables'!$B$23,0),'Tax Tables'!$B$25)*'Tax Tables'!$B$26))*Calculator!$B$11,Calculator!$B$12)</f>
        <v>1746.325</v>
      </c>
      <c r="Y729" s="11" t="n">
        <f aca="false">MAX(W729,0)-X729</f>
        <v>23798.675</v>
      </c>
      <c r="Z729" s="11" t="n">
        <f aca="false">MIN(IF(P729&gt;0,Calculator!$B$13,0)+T729+Calculator!$B$14,'Tax Tables'!$B$36)</f>
        <v>20200</v>
      </c>
      <c r="AA729" s="11" t="n">
        <f aca="false">MAX(P729-Z729,0)</f>
        <v>337800</v>
      </c>
      <c r="AB729" s="11" t="n">
        <f aca="false">SUMPRODUCT((AA729&gt;'Tax Tables'!$A$5:$A$17)*(AA729-'Tax Tables'!$A$5:$A$17)*'Tax Tables'!$C$5:$C$17)</f>
        <v>48466</v>
      </c>
      <c r="AC729" s="11" t="n">
        <f aca="false">IF(W729&lt;0,-1E+099,P729-T729-AB729+Y729+(T729+U729)*Calculator!$B$9)</f>
        <v>349652.675</v>
      </c>
    </row>
    <row r="730" customFormat="false" ht="15" hidden="false" customHeight="false" outlineLevel="0" collapsed="false">
      <c r="A730" s="11" t="n">
        <f aca="false">717*$B$3</f>
        <v>358500</v>
      </c>
      <c r="B730" s="11" t="n">
        <f aca="false">0</f>
        <v>0</v>
      </c>
      <c r="C730" s="11" t="n">
        <f aca="false">A730-B730</f>
        <v>358500</v>
      </c>
      <c r="D730" s="11" t="n">
        <f aca="false">IF(Calculator!$B$6="Yes",MIN(B730,'Tax Tables'!$B$31*'Tax Tables'!$B$32),0)</f>
        <v>0</v>
      </c>
      <c r="E730" s="11" t="n">
        <f aca="false">D730*Calculator!$B$7</f>
        <v>0</v>
      </c>
      <c r="F730" s="11" t="n">
        <f aca="false">D730*Calculator!$B$8</f>
        <v>0</v>
      </c>
      <c r="G730" s="11" t="n">
        <f aca="false">IF(B730&gt;0,'Tax Tables'!$B$32*MIN(MAX(B730/'Tax Tables'!$B$32*'Tax Tables'!$B$33,'Tax Tables'!$B$34),'Tax Tables'!$B$35),0)</f>
        <v>0</v>
      </c>
      <c r="H730" s="11" t="n">
        <f aca="false">Calculator!$B$5-A730-F730-G730</f>
        <v>41500</v>
      </c>
      <c r="I730" s="11" t="n">
        <f aca="false">'Tax Tables'!$B$22*(MAX(H730,0)-IF(Calculator!$B$10="Yes",MIN(MAX(H730,0),'Tax Tables'!$B$27)*'Tax Tables'!$B$28+MIN(MAX(MAX(H730,0)-'Tax Tables'!$B$27,0),'Tax Tables'!$B$29)*'Tax Tables'!$B$30,MIN(MAX(H730,0),'Tax Tables'!$B$23)*'Tax Tables'!$B$24+MIN(MAX(MAX(H730,0)-'Tax Tables'!$B$23,0),'Tax Tables'!$B$25)*'Tax Tables'!$B$26))*1-MIN('Tax Tables'!$B$22*(MAX(H730,0)-IF(Calculator!$B$10="Yes",MIN(MAX(H730,0),'Tax Tables'!$B$27)*'Tax Tables'!$B$28+MIN(MAX(MAX(H730,0)-'Tax Tables'!$B$27,0),'Tax Tables'!$B$29)*'Tax Tables'!$B$30,MIN(MAX(H730,0),'Tax Tables'!$B$23)*'Tax Tables'!$B$24+MIN(MAX(MAX(H730,0)-'Tax Tables'!$B$23,0),'Tax Tables'!$B$25)*'Tax Tables'!$B$26))*Calculator!$B$11,Calculator!$B$12)</f>
        <v>3102.5</v>
      </c>
      <c r="J730" s="11" t="n">
        <f aca="false">MAX(H730,0)-I730</f>
        <v>38397.5</v>
      </c>
      <c r="K730" s="11" t="n">
        <f aca="false">MIN(IF(A730&gt;0,Calculator!$B$13,0)+E730+Calculator!$B$14,'Tax Tables'!$B$36)</f>
        <v>1000</v>
      </c>
      <c r="L730" s="11" t="n">
        <f aca="false">MAX(A730-K730,0)</f>
        <v>357500</v>
      </c>
      <c r="M730" s="11" t="n">
        <f aca="false">SUMPRODUCT((L730&gt;'Tax Tables'!$A$5:$A$17)*(L730-'Tax Tables'!$A$5:$A$17)*'Tax Tables'!$C$5:$C$17)</f>
        <v>52800</v>
      </c>
      <c r="N730" s="11" t="n">
        <f aca="false">IF(H730&lt;0,-1E+099,A730-E730-M730+J730+(E730+F730)*Calculator!$B$9)</f>
        <v>344097.5</v>
      </c>
      <c r="O730" s="2"/>
      <c r="P730" s="11" t="n">
        <f aca="false">717*$B$3</f>
        <v>358500</v>
      </c>
      <c r="Q730" s="11" t="n">
        <f aca="false">MIN(P730,'Tax Tables'!$B$31*'Tax Tables'!$B$32)</f>
        <v>96000</v>
      </c>
      <c r="R730" s="11" t="n">
        <f aca="false">P730-Q730</f>
        <v>262500</v>
      </c>
      <c r="S730" s="11" t="n">
        <f aca="false">IF(Calculator!$B$6="Yes",MIN(Q730,'Tax Tables'!$B$31*'Tax Tables'!$B$32),0)</f>
        <v>96000</v>
      </c>
      <c r="T730" s="11" t="n">
        <f aca="false">S730*Calculator!$B$7</f>
        <v>19200</v>
      </c>
      <c r="U730" s="11" t="n">
        <f aca="false">S730*Calculator!$B$8</f>
        <v>16320</v>
      </c>
      <c r="V730" s="11" t="n">
        <f aca="false">IF(Q730&gt;0,'Tax Tables'!$B$32*MIN(MAX(Q730/'Tax Tables'!$B$32*'Tax Tables'!$B$33,'Tax Tables'!$B$34),'Tax Tables'!$B$35),0)</f>
        <v>135</v>
      </c>
      <c r="W730" s="11" t="n">
        <f aca="false">Calculator!$B$5-P730-U730-V730</f>
        <v>25045</v>
      </c>
      <c r="X730" s="11" t="n">
        <f aca="false">'Tax Tables'!$B$22*(MAX(W730,0)-IF(Calculator!$B$10="Yes",MIN(MAX(W730,0),'Tax Tables'!$B$27)*'Tax Tables'!$B$28+MIN(MAX(MAX(W730,0)-'Tax Tables'!$B$27,0),'Tax Tables'!$B$29)*'Tax Tables'!$B$30,MIN(MAX(W730,0),'Tax Tables'!$B$23)*'Tax Tables'!$B$24+MIN(MAX(MAX(W730,0)-'Tax Tables'!$B$23,0),'Tax Tables'!$B$25)*'Tax Tables'!$B$26))*1-MIN('Tax Tables'!$B$22*(MAX(W730,0)-IF(Calculator!$B$10="Yes",MIN(MAX(W730,0),'Tax Tables'!$B$27)*'Tax Tables'!$B$28+MIN(MAX(MAX(W730,0)-'Tax Tables'!$B$27,0),'Tax Tables'!$B$29)*'Tax Tables'!$B$30,MIN(MAX(W730,0),'Tax Tables'!$B$23)*'Tax Tables'!$B$24+MIN(MAX(MAX(W730,0)-'Tax Tables'!$B$23,0),'Tax Tables'!$B$25)*'Tax Tables'!$B$26))*Calculator!$B$11,Calculator!$B$12)</f>
        <v>1703.825</v>
      </c>
      <c r="Y730" s="11" t="n">
        <f aca="false">MAX(W730,0)-X730</f>
        <v>23341.175</v>
      </c>
      <c r="Z730" s="11" t="n">
        <f aca="false">MIN(IF(P730&gt;0,Calculator!$B$13,0)+T730+Calculator!$B$14,'Tax Tables'!$B$36)</f>
        <v>20200</v>
      </c>
      <c r="AA730" s="11" t="n">
        <f aca="false">MAX(P730-Z730,0)</f>
        <v>338300</v>
      </c>
      <c r="AB730" s="11" t="n">
        <f aca="false">SUMPRODUCT((AA730&gt;'Tax Tables'!$A$5:$A$17)*(AA730-'Tax Tables'!$A$5:$A$17)*'Tax Tables'!$C$5:$C$17)</f>
        <v>48576</v>
      </c>
      <c r="AC730" s="11" t="n">
        <f aca="false">IF(W730&lt;0,-1E+099,P730-T730-AB730+Y730+(T730+U730)*Calculator!$B$9)</f>
        <v>349585.175</v>
      </c>
    </row>
    <row r="731" customFormat="false" ht="15" hidden="false" customHeight="false" outlineLevel="0" collapsed="false">
      <c r="A731" s="11" t="n">
        <f aca="false">718*$B$3</f>
        <v>359000</v>
      </c>
      <c r="B731" s="11" t="n">
        <f aca="false">0</f>
        <v>0</v>
      </c>
      <c r="C731" s="11" t="n">
        <f aca="false">A731-B731</f>
        <v>359000</v>
      </c>
      <c r="D731" s="11" t="n">
        <f aca="false">IF(Calculator!$B$6="Yes",MIN(B731,'Tax Tables'!$B$31*'Tax Tables'!$B$32),0)</f>
        <v>0</v>
      </c>
      <c r="E731" s="11" t="n">
        <f aca="false">D731*Calculator!$B$7</f>
        <v>0</v>
      </c>
      <c r="F731" s="11" t="n">
        <f aca="false">D731*Calculator!$B$8</f>
        <v>0</v>
      </c>
      <c r="G731" s="11" t="n">
        <f aca="false">IF(B731&gt;0,'Tax Tables'!$B$32*MIN(MAX(B731/'Tax Tables'!$B$32*'Tax Tables'!$B$33,'Tax Tables'!$B$34),'Tax Tables'!$B$35),0)</f>
        <v>0</v>
      </c>
      <c r="H731" s="11" t="n">
        <f aca="false">Calculator!$B$5-A731-F731-G731</f>
        <v>41000</v>
      </c>
      <c r="I731" s="11" t="n">
        <f aca="false">'Tax Tables'!$B$22*(MAX(H731,0)-IF(Calculator!$B$10="Yes",MIN(MAX(H731,0),'Tax Tables'!$B$27)*'Tax Tables'!$B$28+MIN(MAX(MAX(H731,0)-'Tax Tables'!$B$27,0),'Tax Tables'!$B$29)*'Tax Tables'!$B$30,MIN(MAX(H731,0),'Tax Tables'!$B$23)*'Tax Tables'!$B$24+MIN(MAX(MAX(H731,0)-'Tax Tables'!$B$23,0),'Tax Tables'!$B$25)*'Tax Tables'!$B$26))*1-MIN('Tax Tables'!$B$22*(MAX(H731,0)-IF(Calculator!$B$10="Yes",MIN(MAX(H731,0),'Tax Tables'!$B$27)*'Tax Tables'!$B$28+MIN(MAX(MAX(H731,0)-'Tax Tables'!$B$27,0),'Tax Tables'!$B$29)*'Tax Tables'!$B$30,MIN(MAX(H731,0),'Tax Tables'!$B$23)*'Tax Tables'!$B$24+MIN(MAX(MAX(H731,0)-'Tax Tables'!$B$23,0),'Tax Tables'!$B$25)*'Tax Tables'!$B$26))*Calculator!$B$11,Calculator!$B$12)</f>
        <v>3060</v>
      </c>
      <c r="J731" s="11" t="n">
        <f aca="false">MAX(H731,0)-I731</f>
        <v>37940</v>
      </c>
      <c r="K731" s="11" t="n">
        <f aca="false">MIN(IF(A731&gt;0,Calculator!$B$13,0)+E731+Calculator!$B$14,'Tax Tables'!$B$36)</f>
        <v>1000</v>
      </c>
      <c r="L731" s="11" t="n">
        <f aca="false">MAX(A731-K731,0)</f>
        <v>358000</v>
      </c>
      <c r="M731" s="11" t="n">
        <f aca="false">SUMPRODUCT((L731&gt;'Tax Tables'!$A$5:$A$17)*(L731-'Tax Tables'!$A$5:$A$17)*'Tax Tables'!$C$5:$C$17)</f>
        <v>52910</v>
      </c>
      <c r="N731" s="11" t="n">
        <f aca="false">IF(H731&lt;0,-1E+099,A731-E731-M731+J731+(E731+F731)*Calculator!$B$9)</f>
        <v>344030</v>
      </c>
      <c r="O731" s="2"/>
      <c r="P731" s="11" t="n">
        <f aca="false">718*$B$3</f>
        <v>359000</v>
      </c>
      <c r="Q731" s="11" t="n">
        <f aca="false">MIN(P731,'Tax Tables'!$B$31*'Tax Tables'!$B$32)</f>
        <v>96000</v>
      </c>
      <c r="R731" s="11" t="n">
        <f aca="false">P731-Q731</f>
        <v>263000</v>
      </c>
      <c r="S731" s="11" t="n">
        <f aca="false">IF(Calculator!$B$6="Yes",MIN(Q731,'Tax Tables'!$B$31*'Tax Tables'!$B$32),0)</f>
        <v>96000</v>
      </c>
      <c r="T731" s="11" t="n">
        <f aca="false">S731*Calculator!$B$7</f>
        <v>19200</v>
      </c>
      <c r="U731" s="11" t="n">
        <f aca="false">S731*Calculator!$B$8</f>
        <v>16320</v>
      </c>
      <c r="V731" s="11" t="n">
        <f aca="false">IF(Q731&gt;0,'Tax Tables'!$B$32*MIN(MAX(Q731/'Tax Tables'!$B$32*'Tax Tables'!$B$33,'Tax Tables'!$B$34),'Tax Tables'!$B$35),0)</f>
        <v>135</v>
      </c>
      <c r="W731" s="11" t="n">
        <f aca="false">Calculator!$B$5-P731-U731-V731</f>
        <v>24545</v>
      </c>
      <c r="X731" s="11" t="n">
        <f aca="false">'Tax Tables'!$B$22*(MAX(W731,0)-IF(Calculator!$B$10="Yes",MIN(MAX(W731,0),'Tax Tables'!$B$27)*'Tax Tables'!$B$28+MIN(MAX(MAX(W731,0)-'Tax Tables'!$B$27,0),'Tax Tables'!$B$29)*'Tax Tables'!$B$30,MIN(MAX(W731,0),'Tax Tables'!$B$23)*'Tax Tables'!$B$24+MIN(MAX(MAX(W731,0)-'Tax Tables'!$B$23,0),'Tax Tables'!$B$25)*'Tax Tables'!$B$26))*1-MIN('Tax Tables'!$B$22*(MAX(W731,0)-IF(Calculator!$B$10="Yes",MIN(MAX(W731,0),'Tax Tables'!$B$27)*'Tax Tables'!$B$28+MIN(MAX(MAX(W731,0)-'Tax Tables'!$B$27,0),'Tax Tables'!$B$29)*'Tax Tables'!$B$30,MIN(MAX(W731,0),'Tax Tables'!$B$23)*'Tax Tables'!$B$24+MIN(MAX(MAX(W731,0)-'Tax Tables'!$B$23,0),'Tax Tables'!$B$25)*'Tax Tables'!$B$26))*Calculator!$B$11,Calculator!$B$12)</f>
        <v>1661.325</v>
      </c>
      <c r="Y731" s="11" t="n">
        <f aca="false">MAX(W731,0)-X731</f>
        <v>22883.675</v>
      </c>
      <c r="Z731" s="11" t="n">
        <f aca="false">MIN(IF(P731&gt;0,Calculator!$B$13,0)+T731+Calculator!$B$14,'Tax Tables'!$B$36)</f>
        <v>20200</v>
      </c>
      <c r="AA731" s="11" t="n">
        <f aca="false">MAX(P731-Z731,0)</f>
        <v>338800</v>
      </c>
      <c r="AB731" s="11" t="n">
        <f aca="false">SUMPRODUCT((AA731&gt;'Tax Tables'!$A$5:$A$17)*(AA731-'Tax Tables'!$A$5:$A$17)*'Tax Tables'!$C$5:$C$17)</f>
        <v>48686</v>
      </c>
      <c r="AC731" s="11" t="n">
        <f aca="false">IF(W731&lt;0,-1E+099,P731-T731-AB731+Y731+(T731+U731)*Calculator!$B$9)</f>
        <v>349517.675</v>
      </c>
    </row>
    <row r="732" customFormat="false" ht="15" hidden="false" customHeight="false" outlineLevel="0" collapsed="false">
      <c r="A732" s="11" t="n">
        <f aca="false">719*$B$3</f>
        <v>359500</v>
      </c>
      <c r="B732" s="11" t="n">
        <f aca="false">0</f>
        <v>0</v>
      </c>
      <c r="C732" s="11" t="n">
        <f aca="false">A732-B732</f>
        <v>359500</v>
      </c>
      <c r="D732" s="11" t="n">
        <f aca="false">IF(Calculator!$B$6="Yes",MIN(B732,'Tax Tables'!$B$31*'Tax Tables'!$B$32),0)</f>
        <v>0</v>
      </c>
      <c r="E732" s="11" t="n">
        <f aca="false">D732*Calculator!$B$7</f>
        <v>0</v>
      </c>
      <c r="F732" s="11" t="n">
        <f aca="false">D732*Calculator!$B$8</f>
        <v>0</v>
      </c>
      <c r="G732" s="11" t="n">
        <f aca="false">IF(B732&gt;0,'Tax Tables'!$B$32*MIN(MAX(B732/'Tax Tables'!$B$32*'Tax Tables'!$B$33,'Tax Tables'!$B$34),'Tax Tables'!$B$35),0)</f>
        <v>0</v>
      </c>
      <c r="H732" s="11" t="n">
        <f aca="false">Calculator!$B$5-A732-F732-G732</f>
        <v>40500</v>
      </c>
      <c r="I732" s="11" t="n">
        <f aca="false">'Tax Tables'!$B$22*(MAX(H732,0)-IF(Calculator!$B$10="Yes",MIN(MAX(H732,0),'Tax Tables'!$B$27)*'Tax Tables'!$B$28+MIN(MAX(MAX(H732,0)-'Tax Tables'!$B$27,0),'Tax Tables'!$B$29)*'Tax Tables'!$B$30,MIN(MAX(H732,0),'Tax Tables'!$B$23)*'Tax Tables'!$B$24+MIN(MAX(MAX(H732,0)-'Tax Tables'!$B$23,0),'Tax Tables'!$B$25)*'Tax Tables'!$B$26))*1-MIN('Tax Tables'!$B$22*(MAX(H732,0)-IF(Calculator!$B$10="Yes",MIN(MAX(H732,0),'Tax Tables'!$B$27)*'Tax Tables'!$B$28+MIN(MAX(MAX(H732,0)-'Tax Tables'!$B$27,0),'Tax Tables'!$B$29)*'Tax Tables'!$B$30,MIN(MAX(H732,0),'Tax Tables'!$B$23)*'Tax Tables'!$B$24+MIN(MAX(MAX(H732,0)-'Tax Tables'!$B$23,0),'Tax Tables'!$B$25)*'Tax Tables'!$B$26))*Calculator!$B$11,Calculator!$B$12)</f>
        <v>3017.5</v>
      </c>
      <c r="J732" s="11" t="n">
        <f aca="false">MAX(H732,0)-I732</f>
        <v>37482.5</v>
      </c>
      <c r="K732" s="11" t="n">
        <f aca="false">MIN(IF(A732&gt;0,Calculator!$B$13,0)+E732+Calculator!$B$14,'Tax Tables'!$B$36)</f>
        <v>1000</v>
      </c>
      <c r="L732" s="11" t="n">
        <f aca="false">MAX(A732-K732,0)</f>
        <v>358500</v>
      </c>
      <c r="M732" s="11" t="n">
        <f aca="false">SUMPRODUCT((L732&gt;'Tax Tables'!$A$5:$A$17)*(L732-'Tax Tables'!$A$5:$A$17)*'Tax Tables'!$C$5:$C$17)</f>
        <v>53020</v>
      </c>
      <c r="N732" s="11" t="n">
        <f aca="false">IF(H732&lt;0,-1E+099,A732-E732-M732+J732+(E732+F732)*Calculator!$B$9)</f>
        <v>343962.5</v>
      </c>
      <c r="O732" s="2"/>
      <c r="P732" s="11" t="n">
        <f aca="false">719*$B$3</f>
        <v>359500</v>
      </c>
      <c r="Q732" s="11" t="n">
        <f aca="false">MIN(P732,'Tax Tables'!$B$31*'Tax Tables'!$B$32)</f>
        <v>96000</v>
      </c>
      <c r="R732" s="11" t="n">
        <f aca="false">P732-Q732</f>
        <v>263500</v>
      </c>
      <c r="S732" s="11" t="n">
        <f aca="false">IF(Calculator!$B$6="Yes",MIN(Q732,'Tax Tables'!$B$31*'Tax Tables'!$B$32),0)</f>
        <v>96000</v>
      </c>
      <c r="T732" s="11" t="n">
        <f aca="false">S732*Calculator!$B$7</f>
        <v>19200</v>
      </c>
      <c r="U732" s="11" t="n">
        <f aca="false">S732*Calculator!$B$8</f>
        <v>16320</v>
      </c>
      <c r="V732" s="11" t="n">
        <f aca="false">IF(Q732&gt;0,'Tax Tables'!$B$32*MIN(MAX(Q732/'Tax Tables'!$B$32*'Tax Tables'!$B$33,'Tax Tables'!$B$34),'Tax Tables'!$B$35),0)</f>
        <v>135</v>
      </c>
      <c r="W732" s="11" t="n">
        <f aca="false">Calculator!$B$5-P732-U732-V732</f>
        <v>24045</v>
      </c>
      <c r="X732" s="11" t="n">
        <f aca="false">'Tax Tables'!$B$22*(MAX(W732,0)-IF(Calculator!$B$10="Yes",MIN(MAX(W732,0),'Tax Tables'!$B$27)*'Tax Tables'!$B$28+MIN(MAX(MAX(W732,0)-'Tax Tables'!$B$27,0),'Tax Tables'!$B$29)*'Tax Tables'!$B$30,MIN(MAX(W732,0),'Tax Tables'!$B$23)*'Tax Tables'!$B$24+MIN(MAX(MAX(W732,0)-'Tax Tables'!$B$23,0),'Tax Tables'!$B$25)*'Tax Tables'!$B$26))*1-MIN('Tax Tables'!$B$22*(MAX(W732,0)-IF(Calculator!$B$10="Yes",MIN(MAX(W732,0),'Tax Tables'!$B$27)*'Tax Tables'!$B$28+MIN(MAX(MAX(W732,0)-'Tax Tables'!$B$27,0),'Tax Tables'!$B$29)*'Tax Tables'!$B$30,MIN(MAX(W732,0),'Tax Tables'!$B$23)*'Tax Tables'!$B$24+MIN(MAX(MAX(W732,0)-'Tax Tables'!$B$23,0),'Tax Tables'!$B$25)*'Tax Tables'!$B$26))*Calculator!$B$11,Calculator!$B$12)</f>
        <v>1618.825</v>
      </c>
      <c r="Y732" s="11" t="n">
        <f aca="false">MAX(W732,0)-X732</f>
        <v>22426.175</v>
      </c>
      <c r="Z732" s="11" t="n">
        <f aca="false">MIN(IF(P732&gt;0,Calculator!$B$13,0)+T732+Calculator!$B$14,'Tax Tables'!$B$36)</f>
        <v>20200</v>
      </c>
      <c r="AA732" s="11" t="n">
        <f aca="false">MAX(P732-Z732,0)</f>
        <v>339300</v>
      </c>
      <c r="AB732" s="11" t="n">
        <f aca="false">SUMPRODUCT((AA732&gt;'Tax Tables'!$A$5:$A$17)*(AA732-'Tax Tables'!$A$5:$A$17)*'Tax Tables'!$C$5:$C$17)</f>
        <v>48796</v>
      </c>
      <c r="AC732" s="11" t="n">
        <f aca="false">IF(W732&lt;0,-1E+099,P732-T732-AB732+Y732+(T732+U732)*Calculator!$B$9)</f>
        <v>349450.175</v>
      </c>
    </row>
    <row r="733" customFormat="false" ht="15" hidden="false" customHeight="false" outlineLevel="0" collapsed="false">
      <c r="A733" s="11" t="n">
        <f aca="false">720*$B$3</f>
        <v>360000</v>
      </c>
      <c r="B733" s="11" t="n">
        <f aca="false">0</f>
        <v>0</v>
      </c>
      <c r="C733" s="11" t="n">
        <f aca="false">A733-B733</f>
        <v>360000</v>
      </c>
      <c r="D733" s="11" t="n">
        <f aca="false">IF(Calculator!$B$6="Yes",MIN(B733,'Tax Tables'!$B$31*'Tax Tables'!$B$32),0)</f>
        <v>0</v>
      </c>
      <c r="E733" s="11" t="n">
        <f aca="false">D733*Calculator!$B$7</f>
        <v>0</v>
      </c>
      <c r="F733" s="11" t="n">
        <f aca="false">D733*Calculator!$B$8</f>
        <v>0</v>
      </c>
      <c r="G733" s="11" t="n">
        <f aca="false">IF(B733&gt;0,'Tax Tables'!$B$32*MIN(MAX(B733/'Tax Tables'!$B$32*'Tax Tables'!$B$33,'Tax Tables'!$B$34),'Tax Tables'!$B$35),0)</f>
        <v>0</v>
      </c>
      <c r="H733" s="11" t="n">
        <f aca="false">Calculator!$B$5-A733-F733-G733</f>
        <v>40000</v>
      </c>
      <c r="I733" s="11" t="n">
        <f aca="false">'Tax Tables'!$B$22*(MAX(H733,0)-IF(Calculator!$B$10="Yes",MIN(MAX(H733,0),'Tax Tables'!$B$27)*'Tax Tables'!$B$28+MIN(MAX(MAX(H733,0)-'Tax Tables'!$B$27,0),'Tax Tables'!$B$29)*'Tax Tables'!$B$30,MIN(MAX(H733,0),'Tax Tables'!$B$23)*'Tax Tables'!$B$24+MIN(MAX(MAX(H733,0)-'Tax Tables'!$B$23,0),'Tax Tables'!$B$25)*'Tax Tables'!$B$26))*1-MIN('Tax Tables'!$B$22*(MAX(H733,0)-IF(Calculator!$B$10="Yes",MIN(MAX(H733,0),'Tax Tables'!$B$27)*'Tax Tables'!$B$28+MIN(MAX(MAX(H733,0)-'Tax Tables'!$B$27,0),'Tax Tables'!$B$29)*'Tax Tables'!$B$30,MIN(MAX(H733,0),'Tax Tables'!$B$23)*'Tax Tables'!$B$24+MIN(MAX(MAX(H733,0)-'Tax Tables'!$B$23,0),'Tax Tables'!$B$25)*'Tax Tables'!$B$26))*Calculator!$B$11,Calculator!$B$12)</f>
        <v>2975</v>
      </c>
      <c r="J733" s="11" t="n">
        <f aca="false">MAX(H733,0)-I733</f>
        <v>37025</v>
      </c>
      <c r="K733" s="11" t="n">
        <f aca="false">MIN(IF(A733&gt;0,Calculator!$B$13,0)+E733+Calculator!$B$14,'Tax Tables'!$B$36)</f>
        <v>1000</v>
      </c>
      <c r="L733" s="11" t="n">
        <f aca="false">MAX(A733-K733,0)</f>
        <v>359000</v>
      </c>
      <c r="M733" s="11" t="n">
        <f aca="false">SUMPRODUCT((L733&gt;'Tax Tables'!$A$5:$A$17)*(L733-'Tax Tables'!$A$5:$A$17)*'Tax Tables'!$C$5:$C$17)</f>
        <v>53130</v>
      </c>
      <c r="N733" s="11" t="n">
        <f aca="false">IF(H733&lt;0,-1E+099,A733-E733-M733+J733+(E733+F733)*Calculator!$B$9)</f>
        <v>343895</v>
      </c>
      <c r="O733" s="2"/>
      <c r="P733" s="11" t="n">
        <f aca="false">720*$B$3</f>
        <v>360000</v>
      </c>
      <c r="Q733" s="11" t="n">
        <f aca="false">MIN(P733,'Tax Tables'!$B$31*'Tax Tables'!$B$32)</f>
        <v>96000</v>
      </c>
      <c r="R733" s="11" t="n">
        <f aca="false">P733-Q733</f>
        <v>264000</v>
      </c>
      <c r="S733" s="11" t="n">
        <f aca="false">IF(Calculator!$B$6="Yes",MIN(Q733,'Tax Tables'!$B$31*'Tax Tables'!$B$32),0)</f>
        <v>96000</v>
      </c>
      <c r="T733" s="11" t="n">
        <f aca="false">S733*Calculator!$B$7</f>
        <v>19200</v>
      </c>
      <c r="U733" s="11" t="n">
        <f aca="false">S733*Calculator!$B$8</f>
        <v>16320</v>
      </c>
      <c r="V733" s="11" t="n">
        <f aca="false">IF(Q733&gt;0,'Tax Tables'!$B$32*MIN(MAX(Q733/'Tax Tables'!$B$32*'Tax Tables'!$B$33,'Tax Tables'!$B$34),'Tax Tables'!$B$35),0)</f>
        <v>135</v>
      </c>
      <c r="W733" s="11" t="n">
        <f aca="false">Calculator!$B$5-P733-U733-V733</f>
        <v>23545</v>
      </c>
      <c r="X733" s="11" t="n">
        <f aca="false">'Tax Tables'!$B$22*(MAX(W733,0)-IF(Calculator!$B$10="Yes",MIN(MAX(W733,0),'Tax Tables'!$B$27)*'Tax Tables'!$B$28+MIN(MAX(MAX(W733,0)-'Tax Tables'!$B$27,0),'Tax Tables'!$B$29)*'Tax Tables'!$B$30,MIN(MAX(W733,0),'Tax Tables'!$B$23)*'Tax Tables'!$B$24+MIN(MAX(MAX(W733,0)-'Tax Tables'!$B$23,0),'Tax Tables'!$B$25)*'Tax Tables'!$B$26))*1-MIN('Tax Tables'!$B$22*(MAX(W733,0)-IF(Calculator!$B$10="Yes",MIN(MAX(W733,0),'Tax Tables'!$B$27)*'Tax Tables'!$B$28+MIN(MAX(MAX(W733,0)-'Tax Tables'!$B$27,0),'Tax Tables'!$B$29)*'Tax Tables'!$B$30,MIN(MAX(W733,0),'Tax Tables'!$B$23)*'Tax Tables'!$B$24+MIN(MAX(MAX(W733,0)-'Tax Tables'!$B$23,0),'Tax Tables'!$B$25)*'Tax Tables'!$B$26))*Calculator!$B$11,Calculator!$B$12)</f>
        <v>1576.325</v>
      </c>
      <c r="Y733" s="11" t="n">
        <f aca="false">MAX(W733,0)-X733</f>
        <v>21968.675</v>
      </c>
      <c r="Z733" s="11" t="n">
        <f aca="false">MIN(IF(P733&gt;0,Calculator!$B$13,0)+T733+Calculator!$B$14,'Tax Tables'!$B$36)</f>
        <v>20200</v>
      </c>
      <c r="AA733" s="11" t="n">
        <f aca="false">MAX(P733-Z733,0)</f>
        <v>339800</v>
      </c>
      <c r="AB733" s="11" t="n">
        <f aca="false">SUMPRODUCT((AA733&gt;'Tax Tables'!$A$5:$A$17)*(AA733-'Tax Tables'!$A$5:$A$17)*'Tax Tables'!$C$5:$C$17)</f>
        <v>48906</v>
      </c>
      <c r="AC733" s="11" t="n">
        <f aca="false">IF(W733&lt;0,-1E+099,P733-T733-AB733+Y733+(T733+U733)*Calculator!$B$9)</f>
        <v>349382.675</v>
      </c>
    </row>
    <row r="734" customFormat="false" ht="15" hidden="false" customHeight="false" outlineLevel="0" collapsed="false">
      <c r="A734" s="11" t="n">
        <f aca="false">721*$B$3</f>
        <v>360500</v>
      </c>
      <c r="B734" s="11" t="n">
        <f aca="false">0</f>
        <v>0</v>
      </c>
      <c r="C734" s="11" t="n">
        <f aca="false">A734-B734</f>
        <v>360500</v>
      </c>
      <c r="D734" s="11" t="n">
        <f aca="false">IF(Calculator!$B$6="Yes",MIN(B734,'Tax Tables'!$B$31*'Tax Tables'!$B$32),0)</f>
        <v>0</v>
      </c>
      <c r="E734" s="11" t="n">
        <f aca="false">D734*Calculator!$B$7</f>
        <v>0</v>
      </c>
      <c r="F734" s="11" t="n">
        <f aca="false">D734*Calculator!$B$8</f>
        <v>0</v>
      </c>
      <c r="G734" s="11" t="n">
        <f aca="false">IF(B734&gt;0,'Tax Tables'!$B$32*MIN(MAX(B734/'Tax Tables'!$B$32*'Tax Tables'!$B$33,'Tax Tables'!$B$34),'Tax Tables'!$B$35),0)</f>
        <v>0</v>
      </c>
      <c r="H734" s="11" t="n">
        <f aca="false">Calculator!$B$5-A734-F734-G734</f>
        <v>39500</v>
      </c>
      <c r="I734" s="11" t="n">
        <f aca="false">'Tax Tables'!$B$22*(MAX(H734,0)-IF(Calculator!$B$10="Yes",MIN(MAX(H734,0),'Tax Tables'!$B$27)*'Tax Tables'!$B$28+MIN(MAX(MAX(H734,0)-'Tax Tables'!$B$27,0),'Tax Tables'!$B$29)*'Tax Tables'!$B$30,MIN(MAX(H734,0),'Tax Tables'!$B$23)*'Tax Tables'!$B$24+MIN(MAX(MAX(H734,0)-'Tax Tables'!$B$23,0),'Tax Tables'!$B$25)*'Tax Tables'!$B$26))*1-MIN('Tax Tables'!$B$22*(MAX(H734,0)-IF(Calculator!$B$10="Yes",MIN(MAX(H734,0),'Tax Tables'!$B$27)*'Tax Tables'!$B$28+MIN(MAX(MAX(H734,0)-'Tax Tables'!$B$27,0),'Tax Tables'!$B$29)*'Tax Tables'!$B$30,MIN(MAX(H734,0),'Tax Tables'!$B$23)*'Tax Tables'!$B$24+MIN(MAX(MAX(H734,0)-'Tax Tables'!$B$23,0),'Tax Tables'!$B$25)*'Tax Tables'!$B$26))*Calculator!$B$11,Calculator!$B$12)</f>
        <v>2932.5</v>
      </c>
      <c r="J734" s="11" t="n">
        <f aca="false">MAX(H734,0)-I734</f>
        <v>36567.5</v>
      </c>
      <c r="K734" s="11" t="n">
        <f aca="false">MIN(IF(A734&gt;0,Calculator!$B$13,0)+E734+Calculator!$B$14,'Tax Tables'!$B$36)</f>
        <v>1000</v>
      </c>
      <c r="L734" s="11" t="n">
        <f aca="false">MAX(A734-K734,0)</f>
        <v>359500</v>
      </c>
      <c r="M734" s="11" t="n">
        <f aca="false">SUMPRODUCT((L734&gt;'Tax Tables'!$A$5:$A$17)*(L734-'Tax Tables'!$A$5:$A$17)*'Tax Tables'!$C$5:$C$17)</f>
        <v>53240</v>
      </c>
      <c r="N734" s="11" t="n">
        <f aca="false">IF(H734&lt;0,-1E+099,A734-E734-M734+J734+(E734+F734)*Calculator!$B$9)</f>
        <v>343827.5</v>
      </c>
      <c r="O734" s="2"/>
      <c r="P734" s="11" t="n">
        <f aca="false">721*$B$3</f>
        <v>360500</v>
      </c>
      <c r="Q734" s="11" t="n">
        <f aca="false">MIN(P734,'Tax Tables'!$B$31*'Tax Tables'!$B$32)</f>
        <v>96000</v>
      </c>
      <c r="R734" s="11" t="n">
        <f aca="false">P734-Q734</f>
        <v>264500</v>
      </c>
      <c r="S734" s="11" t="n">
        <f aca="false">IF(Calculator!$B$6="Yes",MIN(Q734,'Tax Tables'!$B$31*'Tax Tables'!$B$32),0)</f>
        <v>96000</v>
      </c>
      <c r="T734" s="11" t="n">
        <f aca="false">S734*Calculator!$B$7</f>
        <v>19200</v>
      </c>
      <c r="U734" s="11" t="n">
        <f aca="false">S734*Calculator!$B$8</f>
        <v>16320</v>
      </c>
      <c r="V734" s="11" t="n">
        <f aca="false">IF(Q734&gt;0,'Tax Tables'!$B$32*MIN(MAX(Q734/'Tax Tables'!$B$32*'Tax Tables'!$B$33,'Tax Tables'!$B$34),'Tax Tables'!$B$35),0)</f>
        <v>135</v>
      </c>
      <c r="W734" s="11" t="n">
        <f aca="false">Calculator!$B$5-P734-U734-V734</f>
        <v>23045</v>
      </c>
      <c r="X734" s="11" t="n">
        <f aca="false">'Tax Tables'!$B$22*(MAX(W734,0)-IF(Calculator!$B$10="Yes",MIN(MAX(W734,0),'Tax Tables'!$B$27)*'Tax Tables'!$B$28+MIN(MAX(MAX(W734,0)-'Tax Tables'!$B$27,0),'Tax Tables'!$B$29)*'Tax Tables'!$B$30,MIN(MAX(W734,0),'Tax Tables'!$B$23)*'Tax Tables'!$B$24+MIN(MAX(MAX(W734,0)-'Tax Tables'!$B$23,0),'Tax Tables'!$B$25)*'Tax Tables'!$B$26))*1-MIN('Tax Tables'!$B$22*(MAX(W734,0)-IF(Calculator!$B$10="Yes",MIN(MAX(W734,0),'Tax Tables'!$B$27)*'Tax Tables'!$B$28+MIN(MAX(MAX(W734,0)-'Tax Tables'!$B$27,0),'Tax Tables'!$B$29)*'Tax Tables'!$B$30,MIN(MAX(W734,0),'Tax Tables'!$B$23)*'Tax Tables'!$B$24+MIN(MAX(MAX(W734,0)-'Tax Tables'!$B$23,0),'Tax Tables'!$B$25)*'Tax Tables'!$B$26))*Calculator!$B$11,Calculator!$B$12)</f>
        <v>1533.825</v>
      </c>
      <c r="Y734" s="11" t="n">
        <f aca="false">MAX(W734,0)-X734</f>
        <v>21511.175</v>
      </c>
      <c r="Z734" s="11" t="n">
        <f aca="false">MIN(IF(P734&gt;0,Calculator!$B$13,0)+T734+Calculator!$B$14,'Tax Tables'!$B$36)</f>
        <v>20200</v>
      </c>
      <c r="AA734" s="11" t="n">
        <f aca="false">MAX(P734-Z734,0)</f>
        <v>340300</v>
      </c>
      <c r="AB734" s="11" t="n">
        <f aca="false">SUMPRODUCT((AA734&gt;'Tax Tables'!$A$5:$A$17)*(AA734-'Tax Tables'!$A$5:$A$17)*'Tax Tables'!$C$5:$C$17)</f>
        <v>49016</v>
      </c>
      <c r="AC734" s="11" t="n">
        <f aca="false">IF(W734&lt;0,-1E+099,P734-T734-AB734+Y734+(T734+U734)*Calculator!$B$9)</f>
        <v>349315.175</v>
      </c>
    </row>
    <row r="735" customFormat="false" ht="15" hidden="false" customHeight="false" outlineLevel="0" collapsed="false">
      <c r="A735" s="11" t="n">
        <f aca="false">722*$B$3</f>
        <v>361000</v>
      </c>
      <c r="B735" s="11" t="n">
        <f aca="false">0</f>
        <v>0</v>
      </c>
      <c r="C735" s="11" t="n">
        <f aca="false">A735-B735</f>
        <v>361000</v>
      </c>
      <c r="D735" s="11" t="n">
        <f aca="false">IF(Calculator!$B$6="Yes",MIN(B735,'Tax Tables'!$B$31*'Tax Tables'!$B$32),0)</f>
        <v>0</v>
      </c>
      <c r="E735" s="11" t="n">
        <f aca="false">D735*Calculator!$B$7</f>
        <v>0</v>
      </c>
      <c r="F735" s="11" t="n">
        <f aca="false">D735*Calculator!$B$8</f>
        <v>0</v>
      </c>
      <c r="G735" s="11" t="n">
        <f aca="false">IF(B735&gt;0,'Tax Tables'!$B$32*MIN(MAX(B735/'Tax Tables'!$B$32*'Tax Tables'!$B$33,'Tax Tables'!$B$34),'Tax Tables'!$B$35),0)</f>
        <v>0</v>
      </c>
      <c r="H735" s="11" t="n">
        <f aca="false">Calculator!$B$5-A735-F735-G735</f>
        <v>39000</v>
      </c>
      <c r="I735" s="11" t="n">
        <f aca="false">'Tax Tables'!$B$22*(MAX(H735,0)-IF(Calculator!$B$10="Yes",MIN(MAX(H735,0),'Tax Tables'!$B$27)*'Tax Tables'!$B$28+MIN(MAX(MAX(H735,0)-'Tax Tables'!$B$27,0),'Tax Tables'!$B$29)*'Tax Tables'!$B$30,MIN(MAX(H735,0),'Tax Tables'!$B$23)*'Tax Tables'!$B$24+MIN(MAX(MAX(H735,0)-'Tax Tables'!$B$23,0),'Tax Tables'!$B$25)*'Tax Tables'!$B$26))*1-MIN('Tax Tables'!$B$22*(MAX(H735,0)-IF(Calculator!$B$10="Yes",MIN(MAX(H735,0),'Tax Tables'!$B$27)*'Tax Tables'!$B$28+MIN(MAX(MAX(H735,0)-'Tax Tables'!$B$27,0),'Tax Tables'!$B$29)*'Tax Tables'!$B$30,MIN(MAX(H735,0),'Tax Tables'!$B$23)*'Tax Tables'!$B$24+MIN(MAX(MAX(H735,0)-'Tax Tables'!$B$23,0),'Tax Tables'!$B$25)*'Tax Tables'!$B$26))*Calculator!$B$11,Calculator!$B$12)</f>
        <v>2890</v>
      </c>
      <c r="J735" s="11" t="n">
        <f aca="false">MAX(H735,0)-I735</f>
        <v>36110</v>
      </c>
      <c r="K735" s="11" t="n">
        <f aca="false">MIN(IF(A735&gt;0,Calculator!$B$13,0)+E735+Calculator!$B$14,'Tax Tables'!$B$36)</f>
        <v>1000</v>
      </c>
      <c r="L735" s="11" t="n">
        <f aca="false">MAX(A735-K735,0)</f>
        <v>360000</v>
      </c>
      <c r="M735" s="11" t="n">
        <f aca="false">SUMPRODUCT((L735&gt;'Tax Tables'!$A$5:$A$17)*(L735-'Tax Tables'!$A$5:$A$17)*'Tax Tables'!$C$5:$C$17)</f>
        <v>53350</v>
      </c>
      <c r="N735" s="11" t="n">
        <f aca="false">IF(H735&lt;0,-1E+099,A735-E735-M735+J735+(E735+F735)*Calculator!$B$9)</f>
        <v>343760</v>
      </c>
      <c r="O735" s="2"/>
      <c r="P735" s="11" t="n">
        <f aca="false">722*$B$3</f>
        <v>361000</v>
      </c>
      <c r="Q735" s="11" t="n">
        <f aca="false">MIN(P735,'Tax Tables'!$B$31*'Tax Tables'!$B$32)</f>
        <v>96000</v>
      </c>
      <c r="R735" s="11" t="n">
        <f aca="false">P735-Q735</f>
        <v>265000</v>
      </c>
      <c r="S735" s="11" t="n">
        <f aca="false">IF(Calculator!$B$6="Yes",MIN(Q735,'Tax Tables'!$B$31*'Tax Tables'!$B$32),0)</f>
        <v>96000</v>
      </c>
      <c r="T735" s="11" t="n">
        <f aca="false">S735*Calculator!$B$7</f>
        <v>19200</v>
      </c>
      <c r="U735" s="11" t="n">
        <f aca="false">S735*Calculator!$B$8</f>
        <v>16320</v>
      </c>
      <c r="V735" s="11" t="n">
        <f aca="false">IF(Q735&gt;0,'Tax Tables'!$B$32*MIN(MAX(Q735/'Tax Tables'!$B$32*'Tax Tables'!$B$33,'Tax Tables'!$B$34),'Tax Tables'!$B$35),0)</f>
        <v>135</v>
      </c>
      <c r="W735" s="11" t="n">
        <f aca="false">Calculator!$B$5-P735-U735-V735</f>
        <v>22545</v>
      </c>
      <c r="X735" s="11" t="n">
        <f aca="false">'Tax Tables'!$B$22*(MAX(W735,0)-IF(Calculator!$B$10="Yes",MIN(MAX(W735,0),'Tax Tables'!$B$27)*'Tax Tables'!$B$28+MIN(MAX(MAX(W735,0)-'Tax Tables'!$B$27,0),'Tax Tables'!$B$29)*'Tax Tables'!$B$30,MIN(MAX(W735,0),'Tax Tables'!$B$23)*'Tax Tables'!$B$24+MIN(MAX(MAX(W735,0)-'Tax Tables'!$B$23,0),'Tax Tables'!$B$25)*'Tax Tables'!$B$26))*1-MIN('Tax Tables'!$B$22*(MAX(W735,0)-IF(Calculator!$B$10="Yes",MIN(MAX(W735,0),'Tax Tables'!$B$27)*'Tax Tables'!$B$28+MIN(MAX(MAX(W735,0)-'Tax Tables'!$B$27,0),'Tax Tables'!$B$29)*'Tax Tables'!$B$30,MIN(MAX(W735,0),'Tax Tables'!$B$23)*'Tax Tables'!$B$24+MIN(MAX(MAX(W735,0)-'Tax Tables'!$B$23,0),'Tax Tables'!$B$25)*'Tax Tables'!$B$26))*Calculator!$B$11,Calculator!$B$12)</f>
        <v>1491.325</v>
      </c>
      <c r="Y735" s="11" t="n">
        <f aca="false">MAX(W735,0)-X735</f>
        <v>21053.675</v>
      </c>
      <c r="Z735" s="11" t="n">
        <f aca="false">MIN(IF(P735&gt;0,Calculator!$B$13,0)+T735+Calculator!$B$14,'Tax Tables'!$B$36)</f>
        <v>20200</v>
      </c>
      <c r="AA735" s="11" t="n">
        <f aca="false">MAX(P735-Z735,0)</f>
        <v>340800</v>
      </c>
      <c r="AB735" s="11" t="n">
        <f aca="false">SUMPRODUCT((AA735&gt;'Tax Tables'!$A$5:$A$17)*(AA735-'Tax Tables'!$A$5:$A$17)*'Tax Tables'!$C$5:$C$17)</f>
        <v>49126</v>
      </c>
      <c r="AC735" s="11" t="n">
        <f aca="false">IF(W735&lt;0,-1E+099,P735-T735-AB735+Y735+(T735+U735)*Calculator!$B$9)</f>
        <v>349247.675</v>
      </c>
    </row>
    <row r="736" customFormat="false" ht="15" hidden="false" customHeight="false" outlineLevel="0" collapsed="false">
      <c r="A736" s="11" t="n">
        <f aca="false">723*$B$3</f>
        <v>361500</v>
      </c>
      <c r="B736" s="11" t="n">
        <f aca="false">0</f>
        <v>0</v>
      </c>
      <c r="C736" s="11" t="n">
        <f aca="false">A736-B736</f>
        <v>361500</v>
      </c>
      <c r="D736" s="11" t="n">
        <f aca="false">IF(Calculator!$B$6="Yes",MIN(B736,'Tax Tables'!$B$31*'Tax Tables'!$B$32),0)</f>
        <v>0</v>
      </c>
      <c r="E736" s="11" t="n">
        <f aca="false">D736*Calculator!$B$7</f>
        <v>0</v>
      </c>
      <c r="F736" s="11" t="n">
        <f aca="false">D736*Calculator!$B$8</f>
        <v>0</v>
      </c>
      <c r="G736" s="11" t="n">
        <f aca="false">IF(B736&gt;0,'Tax Tables'!$B$32*MIN(MAX(B736/'Tax Tables'!$B$32*'Tax Tables'!$B$33,'Tax Tables'!$B$34),'Tax Tables'!$B$35),0)</f>
        <v>0</v>
      </c>
      <c r="H736" s="11" t="n">
        <f aca="false">Calculator!$B$5-A736-F736-G736</f>
        <v>38500</v>
      </c>
      <c r="I736" s="11" t="n">
        <f aca="false">'Tax Tables'!$B$22*(MAX(H736,0)-IF(Calculator!$B$10="Yes",MIN(MAX(H736,0),'Tax Tables'!$B$27)*'Tax Tables'!$B$28+MIN(MAX(MAX(H736,0)-'Tax Tables'!$B$27,0),'Tax Tables'!$B$29)*'Tax Tables'!$B$30,MIN(MAX(H736,0),'Tax Tables'!$B$23)*'Tax Tables'!$B$24+MIN(MAX(MAX(H736,0)-'Tax Tables'!$B$23,0),'Tax Tables'!$B$25)*'Tax Tables'!$B$26))*1-MIN('Tax Tables'!$B$22*(MAX(H736,0)-IF(Calculator!$B$10="Yes",MIN(MAX(H736,0),'Tax Tables'!$B$27)*'Tax Tables'!$B$28+MIN(MAX(MAX(H736,0)-'Tax Tables'!$B$27,0),'Tax Tables'!$B$29)*'Tax Tables'!$B$30,MIN(MAX(H736,0),'Tax Tables'!$B$23)*'Tax Tables'!$B$24+MIN(MAX(MAX(H736,0)-'Tax Tables'!$B$23,0),'Tax Tables'!$B$25)*'Tax Tables'!$B$26))*Calculator!$B$11,Calculator!$B$12)</f>
        <v>2847.5</v>
      </c>
      <c r="J736" s="11" t="n">
        <f aca="false">MAX(H736,0)-I736</f>
        <v>35652.5</v>
      </c>
      <c r="K736" s="11" t="n">
        <f aca="false">MIN(IF(A736&gt;0,Calculator!$B$13,0)+E736+Calculator!$B$14,'Tax Tables'!$B$36)</f>
        <v>1000</v>
      </c>
      <c r="L736" s="11" t="n">
        <f aca="false">MAX(A736-K736,0)</f>
        <v>360500</v>
      </c>
      <c r="M736" s="11" t="n">
        <f aca="false">SUMPRODUCT((L736&gt;'Tax Tables'!$A$5:$A$17)*(L736-'Tax Tables'!$A$5:$A$17)*'Tax Tables'!$C$5:$C$17)</f>
        <v>53460</v>
      </c>
      <c r="N736" s="11" t="n">
        <f aca="false">IF(H736&lt;0,-1E+099,A736-E736-M736+J736+(E736+F736)*Calculator!$B$9)</f>
        <v>343692.5</v>
      </c>
      <c r="O736" s="2"/>
      <c r="P736" s="11" t="n">
        <f aca="false">723*$B$3</f>
        <v>361500</v>
      </c>
      <c r="Q736" s="11" t="n">
        <f aca="false">MIN(P736,'Tax Tables'!$B$31*'Tax Tables'!$B$32)</f>
        <v>96000</v>
      </c>
      <c r="R736" s="11" t="n">
        <f aca="false">P736-Q736</f>
        <v>265500</v>
      </c>
      <c r="S736" s="11" t="n">
        <f aca="false">IF(Calculator!$B$6="Yes",MIN(Q736,'Tax Tables'!$B$31*'Tax Tables'!$B$32),0)</f>
        <v>96000</v>
      </c>
      <c r="T736" s="11" t="n">
        <f aca="false">S736*Calculator!$B$7</f>
        <v>19200</v>
      </c>
      <c r="U736" s="11" t="n">
        <f aca="false">S736*Calculator!$B$8</f>
        <v>16320</v>
      </c>
      <c r="V736" s="11" t="n">
        <f aca="false">IF(Q736&gt;0,'Tax Tables'!$B$32*MIN(MAX(Q736/'Tax Tables'!$B$32*'Tax Tables'!$B$33,'Tax Tables'!$B$34),'Tax Tables'!$B$35),0)</f>
        <v>135</v>
      </c>
      <c r="W736" s="11" t="n">
        <f aca="false">Calculator!$B$5-P736-U736-V736</f>
        <v>22045</v>
      </c>
      <c r="X736" s="11" t="n">
        <f aca="false">'Tax Tables'!$B$22*(MAX(W736,0)-IF(Calculator!$B$10="Yes",MIN(MAX(W736,0),'Tax Tables'!$B$27)*'Tax Tables'!$B$28+MIN(MAX(MAX(W736,0)-'Tax Tables'!$B$27,0),'Tax Tables'!$B$29)*'Tax Tables'!$B$30,MIN(MAX(W736,0),'Tax Tables'!$B$23)*'Tax Tables'!$B$24+MIN(MAX(MAX(W736,0)-'Tax Tables'!$B$23,0),'Tax Tables'!$B$25)*'Tax Tables'!$B$26))*1-MIN('Tax Tables'!$B$22*(MAX(W736,0)-IF(Calculator!$B$10="Yes",MIN(MAX(W736,0),'Tax Tables'!$B$27)*'Tax Tables'!$B$28+MIN(MAX(MAX(W736,0)-'Tax Tables'!$B$27,0),'Tax Tables'!$B$29)*'Tax Tables'!$B$30,MIN(MAX(W736,0),'Tax Tables'!$B$23)*'Tax Tables'!$B$24+MIN(MAX(MAX(W736,0)-'Tax Tables'!$B$23,0),'Tax Tables'!$B$25)*'Tax Tables'!$B$26))*Calculator!$B$11,Calculator!$B$12)</f>
        <v>1448.825</v>
      </c>
      <c r="Y736" s="11" t="n">
        <f aca="false">MAX(W736,0)-X736</f>
        <v>20596.175</v>
      </c>
      <c r="Z736" s="11" t="n">
        <f aca="false">MIN(IF(P736&gt;0,Calculator!$B$13,0)+T736+Calculator!$B$14,'Tax Tables'!$B$36)</f>
        <v>20200</v>
      </c>
      <c r="AA736" s="11" t="n">
        <f aca="false">MAX(P736-Z736,0)</f>
        <v>341300</v>
      </c>
      <c r="AB736" s="11" t="n">
        <f aca="false">SUMPRODUCT((AA736&gt;'Tax Tables'!$A$5:$A$17)*(AA736-'Tax Tables'!$A$5:$A$17)*'Tax Tables'!$C$5:$C$17)</f>
        <v>49236</v>
      </c>
      <c r="AC736" s="11" t="n">
        <f aca="false">IF(W736&lt;0,-1E+099,P736-T736-AB736+Y736+(T736+U736)*Calculator!$B$9)</f>
        <v>349180.175</v>
      </c>
    </row>
    <row r="737" customFormat="false" ht="15" hidden="false" customHeight="false" outlineLevel="0" collapsed="false">
      <c r="A737" s="11" t="n">
        <f aca="false">724*$B$3</f>
        <v>362000</v>
      </c>
      <c r="B737" s="11" t="n">
        <f aca="false">0</f>
        <v>0</v>
      </c>
      <c r="C737" s="11" t="n">
        <f aca="false">A737-B737</f>
        <v>362000</v>
      </c>
      <c r="D737" s="11" t="n">
        <f aca="false">IF(Calculator!$B$6="Yes",MIN(B737,'Tax Tables'!$B$31*'Tax Tables'!$B$32),0)</f>
        <v>0</v>
      </c>
      <c r="E737" s="11" t="n">
        <f aca="false">D737*Calculator!$B$7</f>
        <v>0</v>
      </c>
      <c r="F737" s="11" t="n">
        <f aca="false">D737*Calculator!$B$8</f>
        <v>0</v>
      </c>
      <c r="G737" s="11" t="n">
        <f aca="false">IF(B737&gt;0,'Tax Tables'!$B$32*MIN(MAX(B737/'Tax Tables'!$B$32*'Tax Tables'!$B$33,'Tax Tables'!$B$34),'Tax Tables'!$B$35),0)</f>
        <v>0</v>
      </c>
      <c r="H737" s="11" t="n">
        <f aca="false">Calculator!$B$5-A737-F737-G737</f>
        <v>38000</v>
      </c>
      <c r="I737" s="11" t="n">
        <f aca="false">'Tax Tables'!$B$22*(MAX(H737,0)-IF(Calculator!$B$10="Yes",MIN(MAX(H737,0),'Tax Tables'!$B$27)*'Tax Tables'!$B$28+MIN(MAX(MAX(H737,0)-'Tax Tables'!$B$27,0),'Tax Tables'!$B$29)*'Tax Tables'!$B$30,MIN(MAX(H737,0),'Tax Tables'!$B$23)*'Tax Tables'!$B$24+MIN(MAX(MAX(H737,0)-'Tax Tables'!$B$23,0),'Tax Tables'!$B$25)*'Tax Tables'!$B$26))*1-MIN('Tax Tables'!$B$22*(MAX(H737,0)-IF(Calculator!$B$10="Yes",MIN(MAX(H737,0),'Tax Tables'!$B$27)*'Tax Tables'!$B$28+MIN(MAX(MAX(H737,0)-'Tax Tables'!$B$27,0),'Tax Tables'!$B$29)*'Tax Tables'!$B$30,MIN(MAX(H737,0),'Tax Tables'!$B$23)*'Tax Tables'!$B$24+MIN(MAX(MAX(H737,0)-'Tax Tables'!$B$23,0),'Tax Tables'!$B$25)*'Tax Tables'!$B$26))*Calculator!$B$11,Calculator!$B$12)</f>
        <v>2805</v>
      </c>
      <c r="J737" s="11" t="n">
        <f aca="false">MAX(H737,0)-I737</f>
        <v>35195</v>
      </c>
      <c r="K737" s="11" t="n">
        <f aca="false">MIN(IF(A737&gt;0,Calculator!$B$13,0)+E737+Calculator!$B$14,'Tax Tables'!$B$36)</f>
        <v>1000</v>
      </c>
      <c r="L737" s="11" t="n">
        <f aca="false">MAX(A737-K737,0)</f>
        <v>361000</v>
      </c>
      <c r="M737" s="11" t="n">
        <f aca="false">SUMPRODUCT((L737&gt;'Tax Tables'!$A$5:$A$17)*(L737-'Tax Tables'!$A$5:$A$17)*'Tax Tables'!$C$5:$C$17)</f>
        <v>53570</v>
      </c>
      <c r="N737" s="11" t="n">
        <f aca="false">IF(H737&lt;0,-1E+099,A737-E737-M737+J737+(E737+F737)*Calculator!$B$9)</f>
        <v>343625</v>
      </c>
      <c r="O737" s="2"/>
      <c r="P737" s="11" t="n">
        <f aca="false">724*$B$3</f>
        <v>362000</v>
      </c>
      <c r="Q737" s="11" t="n">
        <f aca="false">MIN(P737,'Tax Tables'!$B$31*'Tax Tables'!$B$32)</f>
        <v>96000</v>
      </c>
      <c r="R737" s="11" t="n">
        <f aca="false">P737-Q737</f>
        <v>266000</v>
      </c>
      <c r="S737" s="11" t="n">
        <f aca="false">IF(Calculator!$B$6="Yes",MIN(Q737,'Tax Tables'!$B$31*'Tax Tables'!$B$32),0)</f>
        <v>96000</v>
      </c>
      <c r="T737" s="11" t="n">
        <f aca="false">S737*Calculator!$B$7</f>
        <v>19200</v>
      </c>
      <c r="U737" s="11" t="n">
        <f aca="false">S737*Calculator!$B$8</f>
        <v>16320</v>
      </c>
      <c r="V737" s="11" t="n">
        <f aca="false">IF(Q737&gt;0,'Tax Tables'!$B$32*MIN(MAX(Q737/'Tax Tables'!$B$32*'Tax Tables'!$B$33,'Tax Tables'!$B$34),'Tax Tables'!$B$35),0)</f>
        <v>135</v>
      </c>
      <c r="W737" s="11" t="n">
        <f aca="false">Calculator!$B$5-P737-U737-V737</f>
        <v>21545</v>
      </c>
      <c r="X737" s="11" t="n">
        <f aca="false">'Tax Tables'!$B$22*(MAX(W737,0)-IF(Calculator!$B$10="Yes",MIN(MAX(W737,0),'Tax Tables'!$B$27)*'Tax Tables'!$B$28+MIN(MAX(MAX(W737,0)-'Tax Tables'!$B$27,0),'Tax Tables'!$B$29)*'Tax Tables'!$B$30,MIN(MAX(W737,0),'Tax Tables'!$B$23)*'Tax Tables'!$B$24+MIN(MAX(MAX(W737,0)-'Tax Tables'!$B$23,0),'Tax Tables'!$B$25)*'Tax Tables'!$B$26))*1-MIN('Tax Tables'!$B$22*(MAX(W737,0)-IF(Calculator!$B$10="Yes",MIN(MAX(W737,0),'Tax Tables'!$B$27)*'Tax Tables'!$B$28+MIN(MAX(MAX(W737,0)-'Tax Tables'!$B$27,0),'Tax Tables'!$B$29)*'Tax Tables'!$B$30,MIN(MAX(W737,0),'Tax Tables'!$B$23)*'Tax Tables'!$B$24+MIN(MAX(MAX(W737,0)-'Tax Tables'!$B$23,0),'Tax Tables'!$B$25)*'Tax Tables'!$B$26))*Calculator!$B$11,Calculator!$B$12)</f>
        <v>1406.325</v>
      </c>
      <c r="Y737" s="11" t="n">
        <f aca="false">MAX(W737,0)-X737</f>
        <v>20138.675</v>
      </c>
      <c r="Z737" s="11" t="n">
        <f aca="false">MIN(IF(P737&gt;0,Calculator!$B$13,0)+T737+Calculator!$B$14,'Tax Tables'!$B$36)</f>
        <v>20200</v>
      </c>
      <c r="AA737" s="11" t="n">
        <f aca="false">MAX(P737-Z737,0)</f>
        <v>341800</v>
      </c>
      <c r="AB737" s="11" t="n">
        <f aca="false">SUMPRODUCT((AA737&gt;'Tax Tables'!$A$5:$A$17)*(AA737-'Tax Tables'!$A$5:$A$17)*'Tax Tables'!$C$5:$C$17)</f>
        <v>49346</v>
      </c>
      <c r="AC737" s="11" t="n">
        <f aca="false">IF(W737&lt;0,-1E+099,P737-T737-AB737+Y737+(T737+U737)*Calculator!$B$9)</f>
        <v>349112.675</v>
      </c>
    </row>
    <row r="738" customFormat="false" ht="15" hidden="false" customHeight="false" outlineLevel="0" collapsed="false">
      <c r="A738" s="11" t="n">
        <f aca="false">725*$B$3</f>
        <v>362500</v>
      </c>
      <c r="B738" s="11" t="n">
        <f aca="false">0</f>
        <v>0</v>
      </c>
      <c r="C738" s="11" t="n">
        <f aca="false">A738-B738</f>
        <v>362500</v>
      </c>
      <c r="D738" s="11" t="n">
        <f aca="false">IF(Calculator!$B$6="Yes",MIN(B738,'Tax Tables'!$B$31*'Tax Tables'!$B$32),0)</f>
        <v>0</v>
      </c>
      <c r="E738" s="11" t="n">
        <f aca="false">D738*Calculator!$B$7</f>
        <v>0</v>
      </c>
      <c r="F738" s="11" t="n">
        <f aca="false">D738*Calculator!$B$8</f>
        <v>0</v>
      </c>
      <c r="G738" s="11" t="n">
        <f aca="false">IF(B738&gt;0,'Tax Tables'!$B$32*MIN(MAX(B738/'Tax Tables'!$B$32*'Tax Tables'!$B$33,'Tax Tables'!$B$34),'Tax Tables'!$B$35),0)</f>
        <v>0</v>
      </c>
      <c r="H738" s="11" t="n">
        <f aca="false">Calculator!$B$5-A738-F738-G738</f>
        <v>37500</v>
      </c>
      <c r="I738" s="11" t="n">
        <f aca="false">'Tax Tables'!$B$22*(MAX(H738,0)-IF(Calculator!$B$10="Yes",MIN(MAX(H738,0),'Tax Tables'!$B$27)*'Tax Tables'!$B$28+MIN(MAX(MAX(H738,0)-'Tax Tables'!$B$27,0),'Tax Tables'!$B$29)*'Tax Tables'!$B$30,MIN(MAX(H738,0),'Tax Tables'!$B$23)*'Tax Tables'!$B$24+MIN(MAX(MAX(H738,0)-'Tax Tables'!$B$23,0),'Tax Tables'!$B$25)*'Tax Tables'!$B$26))*1-MIN('Tax Tables'!$B$22*(MAX(H738,0)-IF(Calculator!$B$10="Yes",MIN(MAX(H738,0),'Tax Tables'!$B$27)*'Tax Tables'!$B$28+MIN(MAX(MAX(H738,0)-'Tax Tables'!$B$27,0),'Tax Tables'!$B$29)*'Tax Tables'!$B$30,MIN(MAX(H738,0),'Tax Tables'!$B$23)*'Tax Tables'!$B$24+MIN(MAX(MAX(H738,0)-'Tax Tables'!$B$23,0),'Tax Tables'!$B$25)*'Tax Tables'!$B$26))*Calculator!$B$11,Calculator!$B$12)</f>
        <v>2762.5</v>
      </c>
      <c r="J738" s="11" t="n">
        <f aca="false">MAX(H738,0)-I738</f>
        <v>34737.5</v>
      </c>
      <c r="K738" s="11" t="n">
        <f aca="false">MIN(IF(A738&gt;0,Calculator!$B$13,0)+E738+Calculator!$B$14,'Tax Tables'!$B$36)</f>
        <v>1000</v>
      </c>
      <c r="L738" s="11" t="n">
        <f aca="false">MAX(A738-K738,0)</f>
        <v>361500</v>
      </c>
      <c r="M738" s="11" t="n">
        <f aca="false">SUMPRODUCT((L738&gt;'Tax Tables'!$A$5:$A$17)*(L738-'Tax Tables'!$A$5:$A$17)*'Tax Tables'!$C$5:$C$17)</f>
        <v>53680</v>
      </c>
      <c r="N738" s="11" t="n">
        <f aca="false">IF(H738&lt;0,-1E+099,A738-E738-M738+J738+(E738+F738)*Calculator!$B$9)</f>
        <v>343557.5</v>
      </c>
      <c r="O738" s="2"/>
      <c r="P738" s="11" t="n">
        <f aca="false">725*$B$3</f>
        <v>362500</v>
      </c>
      <c r="Q738" s="11" t="n">
        <f aca="false">MIN(P738,'Tax Tables'!$B$31*'Tax Tables'!$B$32)</f>
        <v>96000</v>
      </c>
      <c r="R738" s="11" t="n">
        <f aca="false">P738-Q738</f>
        <v>266500</v>
      </c>
      <c r="S738" s="11" t="n">
        <f aca="false">IF(Calculator!$B$6="Yes",MIN(Q738,'Tax Tables'!$B$31*'Tax Tables'!$B$32),0)</f>
        <v>96000</v>
      </c>
      <c r="T738" s="11" t="n">
        <f aca="false">S738*Calculator!$B$7</f>
        <v>19200</v>
      </c>
      <c r="U738" s="11" t="n">
        <f aca="false">S738*Calculator!$B$8</f>
        <v>16320</v>
      </c>
      <c r="V738" s="11" t="n">
        <f aca="false">IF(Q738&gt;0,'Tax Tables'!$B$32*MIN(MAX(Q738/'Tax Tables'!$B$32*'Tax Tables'!$B$33,'Tax Tables'!$B$34),'Tax Tables'!$B$35),0)</f>
        <v>135</v>
      </c>
      <c r="W738" s="11" t="n">
        <f aca="false">Calculator!$B$5-P738-U738-V738</f>
        <v>21045</v>
      </c>
      <c r="X738" s="11" t="n">
        <f aca="false">'Tax Tables'!$B$22*(MAX(W738,0)-IF(Calculator!$B$10="Yes",MIN(MAX(W738,0),'Tax Tables'!$B$27)*'Tax Tables'!$B$28+MIN(MAX(MAX(W738,0)-'Tax Tables'!$B$27,0),'Tax Tables'!$B$29)*'Tax Tables'!$B$30,MIN(MAX(W738,0),'Tax Tables'!$B$23)*'Tax Tables'!$B$24+MIN(MAX(MAX(W738,0)-'Tax Tables'!$B$23,0),'Tax Tables'!$B$25)*'Tax Tables'!$B$26))*1-MIN('Tax Tables'!$B$22*(MAX(W738,0)-IF(Calculator!$B$10="Yes",MIN(MAX(W738,0),'Tax Tables'!$B$27)*'Tax Tables'!$B$28+MIN(MAX(MAX(W738,0)-'Tax Tables'!$B$27,0),'Tax Tables'!$B$29)*'Tax Tables'!$B$30,MIN(MAX(W738,0),'Tax Tables'!$B$23)*'Tax Tables'!$B$24+MIN(MAX(MAX(W738,0)-'Tax Tables'!$B$23,0),'Tax Tables'!$B$25)*'Tax Tables'!$B$26))*Calculator!$B$11,Calculator!$B$12)</f>
        <v>1363.825</v>
      </c>
      <c r="Y738" s="11" t="n">
        <f aca="false">MAX(W738,0)-X738</f>
        <v>19681.175</v>
      </c>
      <c r="Z738" s="11" t="n">
        <f aca="false">MIN(IF(P738&gt;0,Calculator!$B$13,0)+T738+Calculator!$B$14,'Tax Tables'!$B$36)</f>
        <v>20200</v>
      </c>
      <c r="AA738" s="11" t="n">
        <f aca="false">MAX(P738-Z738,0)</f>
        <v>342300</v>
      </c>
      <c r="AB738" s="11" t="n">
        <f aca="false">SUMPRODUCT((AA738&gt;'Tax Tables'!$A$5:$A$17)*(AA738-'Tax Tables'!$A$5:$A$17)*'Tax Tables'!$C$5:$C$17)</f>
        <v>49456</v>
      </c>
      <c r="AC738" s="11" t="n">
        <f aca="false">IF(W738&lt;0,-1E+099,P738-T738-AB738+Y738+(T738+U738)*Calculator!$B$9)</f>
        <v>349045.175</v>
      </c>
    </row>
    <row r="739" customFormat="false" ht="15" hidden="false" customHeight="false" outlineLevel="0" collapsed="false">
      <c r="A739" s="11" t="n">
        <f aca="false">726*$B$3</f>
        <v>363000</v>
      </c>
      <c r="B739" s="11" t="n">
        <f aca="false">0</f>
        <v>0</v>
      </c>
      <c r="C739" s="11" t="n">
        <f aca="false">A739-B739</f>
        <v>363000</v>
      </c>
      <c r="D739" s="11" t="n">
        <f aca="false">IF(Calculator!$B$6="Yes",MIN(B739,'Tax Tables'!$B$31*'Tax Tables'!$B$32),0)</f>
        <v>0</v>
      </c>
      <c r="E739" s="11" t="n">
        <f aca="false">D739*Calculator!$B$7</f>
        <v>0</v>
      </c>
      <c r="F739" s="11" t="n">
        <f aca="false">D739*Calculator!$B$8</f>
        <v>0</v>
      </c>
      <c r="G739" s="11" t="n">
        <f aca="false">IF(B739&gt;0,'Tax Tables'!$B$32*MIN(MAX(B739/'Tax Tables'!$B$32*'Tax Tables'!$B$33,'Tax Tables'!$B$34),'Tax Tables'!$B$35),0)</f>
        <v>0</v>
      </c>
      <c r="H739" s="11" t="n">
        <f aca="false">Calculator!$B$5-A739-F739-G739</f>
        <v>37000</v>
      </c>
      <c r="I739" s="11" t="n">
        <f aca="false">'Tax Tables'!$B$22*(MAX(H739,0)-IF(Calculator!$B$10="Yes",MIN(MAX(H739,0),'Tax Tables'!$B$27)*'Tax Tables'!$B$28+MIN(MAX(MAX(H739,0)-'Tax Tables'!$B$27,0),'Tax Tables'!$B$29)*'Tax Tables'!$B$30,MIN(MAX(H739,0),'Tax Tables'!$B$23)*'Tax Tables'!$B$24+MIN(MAX(MAX(H739,0)-'Tax Tables'!$B$23,0),'Tax Tables'!$B$25)*'Tax Tables'!$B$26))*1-MIN('Tax Tables'!$B$22*(MAX(H739,0)-IF(Calculator!$B$10="Yes",MIN(MAX(H739,0),'Tax Tables'!$B$27)*'Tax Tables'!$B$28+MIN(MAX(MAX(H739,0)-'Tax Tables'!$B$27,0),'Tax Tables'!$B$29)*'Tax Tables'!$B$30,MIN(MAX(H739,0),'Tax Tables'!$B$23)*'Tax Tables'!$B$24+MIN(MAX(MAX(H739,0)-'Tax Tables'!$B$23,0),'Tax Tables'!$B$25)*'Tax Tables'!$B$26))*Calculator!$B$11,Calculator!$B$12)</f>
        <v>2720</v>
      </c>
      <c r="J739" s="11" t="n">
        <f aca="false">MAX(H739,0)-I739</f>
        <v>34280</v>
      </c>
      <c r="K739" s="11" t="n">
        <f aca="false">MIN(IF(A739&gt;0,Calculator!$B$13,0)+E739+Calculator!$B$14,'Tax Tables'!$B$36)</f>
        <v>1000</v>
      </c>
      <c r="L739" s="11" t="n">
        <f aca="false">MAX(A739-K739,0)</f>
        <v>362000</v>
      </c>
      <c r="M739" s="11" t="n">
        <f aca="false">SUMPRODUCT((L739&gt;'Tax Tables'!$A$5:$A$17)*(L739-'Tax Tables'!$A$5:$A$17)*'Tax Tables'!$C$5:$C$17)</f>
        <v>53790</v>
      </c>
      <c r="N739" s="11" t="n">
        <f aca="false">IF(H739&lt;0,-1E+099,A739-E739-M739+J739+(E739+F739)*Calculator!$B$9)</f>
        <v>343490</v>
      </c>
      <c r="O739" s="2"/>
      <c r="P739" s="11" t="n">
        <f aca="false">726*$B$3</f>
        <v>363000</v>
      </c>
      <c r="Q739" s="11" t="n">
        <f aca="false">MIN(P739,'Tax Tables'!$B$31*'Tax Tables'!$B$32)</f>
        <v>96000</v>
      </c>
      <c r="R739" s="11" t="n">
        <f aca="false">P739-Q739</f>
        <v>267000</v>
      </c>
      <c r="S739" s="11" t="n">
        <f aca="false">IF(Calculator!$B$6="Yes",MIN(Q739,'Tax Tables'!$B$31*'Tax Tables'!$B$32),0)</f>
        <v>96000</v>
      </c>
      <c r="T739" s="11" t="n">
        <f aca="false">S739*Calculator!$B$7</f>
        <v>19200</v>
      </c>
      <c r="U739" s="11" t="n">
        <f aca="false">S739*Calculator!$B$8</f>
        <v>16320</v>
      </c>
      <c r="V739" s="11" t="n">
        <f aca="false">IF(Q739&gt;0,'Tax Tables'!$B$32*MIN(MAX(Q739/'Tax Tables'!$B$32*'Tax Tables'!$B$33,'Tax Tables'!$B$34),'Tax Tables'!$B$35),0)</f>
        <v>135</v>
      </c>
      <c r="W739" s="11" t="n">
        <f aca="false">Calculator!$B$5-P739-U739-V739</f>
        <v>20545</v>
      </c>
      <c r="X739" s="11" t="n">
        <f aca="false">'Tax Tables'!$B$22*(MAX(W739,0)-IF(Calculator!$B$10="Yes",MIN(MAX(W739,0),'Tax Tables'!$B$27)*'Tax Tables'!$B$28+MIN(MAX(MAX(W739,0)-'Tax Tables'!$B$27,0),'Tax Tables'!$B$29)*'Tax Tables'!$B$30,MIN(MAX(W739,0),'Tax Tables'!$B$23)*'Tax Tables'!$B$24+MIN(MAX(MAX(W739,0)-'Tax Tables'!$B$23,0),'Tax Tables'!$B$25)*'Tax Tables'!$B$26))*1-MIN('Tax Tables'!$B$22*(MAX(W739,0)-IF(Calculator!$B$10="Yes",MIN(MAX(W739,0),'Tax Tables'!$B$27)*'Tax Tables'!$B$28+MIN(MAX(MAX(W739,0)-'Tax Tables'!$B$27,0),'Tax Tables'!$B$29)*'Tax Tables'!$B$30,MIN(MAX(W739,0),'Tax Tables'!$B$23)*'Tax Tables'!$B$24+MIN(MAX(MAX(W739,0)-'Tax Tables'!$B$23,0),'Tax Tables'!$B$25)*'Tax Tables'!$B$26))*Calculator!$B$11,Calculator!$B$12)</f>
        <v>1321.325</v>
      </c>
      <c r="Y739" s="11" t="n">
        <f aca="false">MAX(W739,0)-X739</f>
        <v>19223.675</v>
      </c>
      <c r="Z739" s="11" t="n">
        <f aca="false">MIN(IF(P739&gt;0,Calculator!$B$13,0)+T739+Calculator!$B$14,'Tax Tables'!$B$36)</f>
        <v>20200</v>
      </c>
      <c r="AA739" s="11" t="n">
        <f aca="false">MAX(P739-Z739,0)</f>
        <v>342800</v>
      </c>
      <c r="AB739" s="11" t="n">
        <f aca="false">SUMPRODUCT((AA739&gt;'Tax Tables'!$A$5:$A$17)*(AA739-'Tax Tables'!$A$5:$A$17)*'Tax Tables'!$C$5:$C$17)</f>
        <v>49566</v>
      </c>
      <c r="AC739" s="11" t="n">
        <f aca="false">IF(W739&lt;0,-1E+099,P739-T739-AB739+Y739+(T739+U739)*Calculator!$B$9)</f>
        <v>348977.675</v>
      </c>
    </row>
    <row r="740" customFormat="false" ht="15" hidden="false" customHeight="false" outlineLevel="0" collapsed="false">
      <c r="A740" s="11" t="n">
        <f aca="false">727*$B$3</f>
        <v>363500</v>
      </c>
      <c r="B740" s="11" t="n">
        <f aca="false">0</f>
        <v>0</v>
      </c>
      <c r="C740" s="11" t="n">
        <f aca="false">A740-B740</f>
        <v>363500</v>
      </c>
      <c r="D740" s="11" t="n">
        <f aca="false">IF(Calculator!$B$6="Yes",MIN(B740,'Tax Tables'!$B$31*'Tax Tables'!$B$32),0)</f>
        <v>0</v>
      </c>
      <c r="E740" s="11" t="n">
        <f aca="false">D740*Calculator!$B$7</f>
        <v>0</v>
      </c>
      <c r="F740" s="11" t="n">
        <f aca="false">D740*Calculator!$B$8</f>
        <v>0</v>
      </c>
      <c r="G740" s="11" t="n">
        <f aca="false">IF(B740&gt;0,'Tax Tables'!$B$32*MIN(MAX(B740/'Tax Tables'!$B$32*'Tax Tables'!$B$33,'Tax Tables'!$B$34),'Tax Tables'!$B$35),0)</f>
        <v>0</v>
      </c>
      <c r="H740" s="11" t="n">
        <f aca="false">Calculator!$B$5-A740-F740-G740</f>
        <v>36500</v>
      </c>
      <c r="I740" s="11" t="n">
        <f aca="false">'Tax Tables'!$B$22*(MAX(H740,0)-IF(Calculator!$B$10="Yes",MIN(MAX(H740,0),'Tax Tables'!$B$27)*'Tax Tables'!$B$28+MIN(MAX(MAX(H740,0)-'Tax Tables'!$B$27,0),'Tax Tables'!$B$29)*'Tax Tables'!$B$30,MIN(MAX(H740,0),'Tax Tables'!$B$23)*'Tax Tables'!$B$24+MIN(MAX(MAX(H740,0)-'Tax Tables'!$B$23,0),'Tax Tables'!$B$25)*'Tax Tables'!$B$26))*1-MIN('Tax Tables'!$B$22*(MAX(H740,0)-IF(Calculator!$B$10="Yes",MIN(MAX(H740,0),'Tax Tables'!$B$27)*'Tax Tables'!$B$28+MIN(MAX(MAX(H740,0)-'Tax Tables'!$B$27,0),'Tax Tables'!$B$29)*'Tax Tables'!$B$30,MIN(MAX(H740,0),'Tax Tables'!$B$23)*'Tax Tables'!$B$24+MIN(MAX(MAX(H740,0)-'Tax Tables'!$B$23,0),'Tax Tables'!$B$25)*'Tax Tables'!$B$26))*Calculator!$B$11,Calculator!$B$12)</f>
        <v>2677.5</v>
      </c>
      <c r="J740" s="11" t="n">
        <f aca="false">MAX(H740,0)-I740</f>
        <v>33822.5</v>
      </c>
      <c r="K740" s="11" t="n">
        <f aca="false">MIN(IF(A740&gt;0,Calculator!$B$13,0)+E740+Calculator!$B$14,'Tax Tables'!$B$36)</f>
        <v>1000</v>
      </c>
      <c r="L740" s="11" t="n">
        <f aca="false">MAX(A740-K740,0)</f>
        <v>362500</v>
      </c>
      <c r="M740" s="11" t="n">
        <f aca="false">SUMPRODUCT((L740&gt;'Tax Tables'!$A$5:$A$17)*(L740-'Tax Tables'!$A$5:$A$17)*'Tax Tables'!$C$5:$C$17)</f>
        <v>53900</v>
      </c>
      <c r="N740" s="11" t="n">
        <f aca="false">IF(H740&lt;0,-1E+099,A740-E740-M740+J740+(E740+F740)*Calculator!$B$9)</f>
        <v>343422.5</v>
      </c>
      <c r="O740" s="2"/>
      <c r="P740" s="11" t="n">
        <f aca="false">727*$B$3</f>
        <v>363500</v>
      </c>
      <c r="Q740" s="11" t="n">
        <f aca="false">MIN(P740,'Tax Tables'!$B$31*'Tax Tables'!$B$32)</f>
        <v>96000</v>
      </c>
      <c r="R740" s="11" t="n">
        <f aca="false">P740-Q740</f>
        <v>267500</v>
      </c>
      <c r="S740" s="11" t="n">
        <f aca="false">IF(Calculator!$B$6="Yes",MIN(Q740,'Tax Tables'!$B$31*'Tax Tables'!$B$32),0)</f>
        <v>96000</v>
      </c>
      <c r="T740" s="11" t="n">
        <f aca="false">S740*Calculator!$B$7</f>
        <v>19200</v>
      </c>
      <c r="U740" s="11" t="n">
        <f aca="false">S740*Calculator!$B$8</f>
        <v>16320</v>
      </c>
      <c r="V740" s="11" t="n">
        <f aca="false">IF(Q740&gt;0,'Tax Tables'!$B$32*MIN(MAX(Q740/'Tax Tables'!$B$32*'Tax Tables'!$B$33,'Tax Tables'!$B$34),'Tax Tables'!$B$35),0)</f>
        <v>135</v>
      </c>
      <c r="W740" s="11" t="n">
        <f aca="false">Calculator!$B$5-P740-U740-V740</f>
        <v>20045</v>
      </c>
      <c r="X740" s="11" t="n">
        <f aca="false">'Tax Tables'!$B$22*(MAX(W740,0)-IF(Calculator!$B$10="Yes",MIN(MAX(W740,0),'Tax Tables'!$B$27)*'Tax Tables'!$B$28+MIN(MAX(MAX(W740,0)-'Tax Tables'!$B$27,0),'Tax Tables'!$B$29)*'Tax Tables'!$B$30,MIN(MAX(W740,0),'Tax Tables'!$B$23)*'Tax Tables'!$B$24+MIN(MAX(MAX(W740,0)-'Tax Tables'!$B$23,0),'Tax Tables'!$B$25)*'Tax Tables'!$B$26))*1-MIN('Tax Tables'!$B$22*(MAX(W740,0)-IF(Calculator!$B$10="Yes",MIN(MAX(W740,0),'Tax Tables'!$B$27)*'Tax Tables'!$B$28+MIN(MAX(MAX(W740,0)-'Tax Tables'!$B$27,0),'Tax Tables'!$B$29)*'Tax Tables'!$B$30,MIN(MAX(W740,0),'Tax Tables'!$B$23)*'Tax Tables'!$B$24+MIN(MAX(MAX(W740,0)-'Tax Tables'!$B$23,0),'Tax Tables'!$B$25)*'Tax Tables'!$B$26))*Calculator!$B$11,Calculator!$B$12)</f>
        <v>1278.825</v>
      </c>
      <c r="Y740" s="11" t="n">
        <f aca="false">MAX(W740,0)-X740</f>
        <v>18766.175</v>
      </c>
      <c r="Z740" s="11" t="n">
        <f aca="false">MIN(IF(P740&gt;0,Calculator!$B$13,0)+T740+Calculator!$B$14,'Tax Tables'!$B$36)</f>
        <v>20200</v>
      </c>
      <c r="AA740" s="11" t="n">
        <f aca="false">MAX(P740-Z740,0)</f>
        <v>343300</v>
      </c>
      <c r="AB740" s="11" t="n">
        <f aca="false">SUMPRODUCT((AA740&gt;'Tax Tables'!$A$5:$A$17)*(AA740-'Tax Tables'!$A$5:$A$17)*'Tax Tables'!$C$5:$C$17)</f>
        <v>49676</v>
      </c>
      <c r="AC740" s="11" t="n">
        <f aca="false">IF(W740&lt;0,-1E+099,P740-T740-AB740+Y740+(T740+U740)*Calculator!$B$9)</f>
        <v>348910.175</v>
      </c>
    </row>
    <row r="741" customFormat="false" ht="15" hidden="false" customHeight="false" outlineLevel="0" collapsed="false">
      <c r="A741" s="11" t="n">
        <f aca="false">728*$B$3</f>
        <v>364000</v>
      </c>
      <c r="B741" s="11" t="n">
        <f aca="false">0</f>
        <v>0</v>
      </c>
      <c r="C741" s="11" t="n">
        <f aca="false">A741-B741</f>
        <v>364000</v>
      </c>
      <c r="D741" s="11" t="n">
        <f aca="false">IF(Calculator!$B$6="Yes",MIN(B741,'Tax Tables'!$B$31*'Tax Tables'!$B$32),0)</f>
        <v>0</v>
      </c>
      <c r="E741" s="11" t="n">
        <f aca="false">D741*Calculator!$B$7</f>
        <v>0</v>
      </c>
      <c r="F741" s="11" t="n">
        <f aca="false">D741*Calculator!$B$8</f>
        <v>0</v>
      </c>
      <c r="G741" s="11" t="n">
        <f aca="false">IF(B741&gt;0,'Tax Tables'!$B$32*MIN(MAX(B741/'Tax Tables'!$B$32*'Tax Tables'!$B$33,'Tax Tables'!$B$34),'Tax Tables'!$B$35),0)</f>
        <v>0</v>
      </c>
      <c r="H741" s="11" t="n">
        <f aca="false">Calculator!$B$5-A741-F741-G741</f>
        <v>36000</v>
      </c>
      <c r="I741" s="11" t="n">
        <f aca="false">'Tax Tables'!$B$22*(MAX(H741,0)-IF(Calculator!$B$10="Yes",MIN(MAX(H741,0),'Tax Tables'!$B$27)*'Tax Tables'!$B$28+MIN(MAX(MAX(H741,0)-'Tax Tables'!$B$27,0),'Tax Tables'!$B$29)*'Tax Tables'!$B$30,MIN(MAX(H741,0),'Tax Tables'!$B$23)*'Tax Tables'!$B$24+MIN(MAX(MAX(H741,0)-'Tax Tables'!$B$23,0),'Tax Tables'!$B$25)*'Tax Tables'!$B$26))*1-MIN('Tax Tables'!$B$22*(MAX(H741,0)-IF(Calculator!$B$10="Yes",MIN(MAX(H741,0),'Tax Tables'!$B$27)*'Tax Tables'!$B$28+MIN(MAX(MAX(H741,0)-'Tax Tables'!$B$27,0),'Tax Tables'!$B$29)*'Tax Tables'!$B$30,MIN(MAX(H741,0),'Tax Tables'!$B$23)*'Tax Tables'!$B$24+MIN(MAX(MAX(H741,0)-'Tax Tables'!$B$23,0),'Tax Tables'!$B$25)*'Tax Tables'!$B$26))*Calculator!$B$11,Calculator!$B$12)</f>
        <v>2635</v>
      </c>
      <c r="J741" s="11" t="n">
        <f aca="false">MAX(H741,0)-I741</f>
        <v>33365</v>
      </c>
      <c r="K741" s="11" t="n">
        <f aca="false">MIN(IF(A741&gt;0,Calculator!$B$13,0)+E741+Calculator!$B$14,'Tax Tables'!$B$36)</f>
        <v>1000</v>
      </c>
      <c r="L741" s="11" t="n">
        <f aca="false">MAX(A741-K741,0)</f>
        <v>363000</v>
      </c>
      <c r="M741" s="11" t="n">
        <f aca="false">SUMPRODUCT((L741&gt;'Tax Tables'!$A$5:$A$17)*(L741-'Tax Tables'!$A$5:$A$17)*'Tax Tables'!$C$5:$C$17)</f>
        <v>54010</v>
      </c>
      <c r="N741" s="11" t="n">
        <f aca="false">IF(H741&lt;0,-1E+099,A741-E741-M741+J741+(E741+F741)*Calculator!$B$9)</f>
        <v>343355</v>
      </c>
      <c r="O741" s="2"/>
      <c r="P741" s="11" t="n">
        <f aca="false">728*$B$3</f>
        <v>364000</v>
      </c>
      <c r="Q741" s="11" t="n">
        <f aca="false">MIN(P741,'Tax Tables'!$B$31*'Tax Tables'!$B$32)</f>
        <v>96000</v>
      </c>
      <c r="R741" s="11" t="n">
        <f aca="false">P741-Q741</f>
        <v>268000</v>
      </c>
      <c r="S741" s="11" t="n">
        <f aca="false">IF(Calculator!$B$6="Yes",MIN(Q741,'Tax Tables'!$B$31*'Tax Tables'!$B$32),0)</f>
        <v>96000</v>
      </c>
      <c r="T741" s="11" t="n">
        <f aca="false">S741*Calculator!$B$7</f>
        <v>19200</v>
      </c>
      <c r="U741" s="11" t="n">
        <f aca="false">S741*Calculator!$B$8</f>
        <v>16320</v>
      </c>
      <c r="V741" s="11" t="n">
        <f aca="false">IF(Q741&gt;0,'Tax Tables'!$B$32*MIN(MAX(Q741/'Tax Tables'!$B$32*'Tax Tables'!$B$33,'Tax Tables'!$B$34),'Tax Tables'!$B$35),0)</f>
        <v>135</v>
      </c>
      <c r="W741" s="11" t="n">
        <f aca="false">Calculator!$B$5-P741-U741-V741</f>
        <v>19545</v>
      </c>
      <c r="X741" s="11" t="n">
        <f aca="false">'Tax Tables'!$B$22*(MAX(W741,0)-IF(Calculator!$B$10="Yes",MIN(MAX(W741,0),'Tax Tables'!$B$27)*'Tax Tables'!$B$28+MIN(MAX(MAX(W741,0)-'Tax Tables'!$B$27,0),'Tax Tables'!$B$29)*'Tax Tables'!$B$30,MIN(MAX(W741,0),'Tax Tables'!$B$23)*'Tax Tables'!$B$24+MIN(MAX(MAX(W741,0)-'Tax Tables'!$B$23,0),'Tax Tables'!$B$25)*'Tax Tables'!$B$26))*1-MIN('Tax Tables'!$B$22*(MAX(W741,0)-IF(Calculator!$B$10="Yes",MIN(MAX(W741,0),'Tax Tables'!$B$27)*'Tax Tables'!$B$28+MIN(MAX(MAX(W741,0)-'Tax Tables'!$B$27,0),'Tax Tables'!$B$29)*'Tax Tables'!$B$30,MIN(MAX(W741,0),'Tax Tables'!$B$23)*'Tax Tables'!$B$24+MIN(MAX(MAX(W741,0)-'Tax Tables'!$B$23,0),'Tax Tables'!$B$25)*'Tax Tables'!$B$26))*Calculator!$B$11,Calculator!$B$12)</f>
        <v>1236.325</v>
      </c>
      <c r="Y741" s="11" t="n">
        <f aca="false">MAX(W741,0)-X741</f>
        <v>18308.675</v>
      </c>
      <c r="Z741" s="11" t="n">
        <f aca="false">MIN(IF(P741&gt;0,Calculator!$B$13,0)+T741+Calculator!$B$14,'Tax Tables'!$B$36)</f>
        <v>20200</v>
      </c>
      <c r="AA741" s="11" t="n">
        <f aca="false">MAX(P741-Z741,0)</f>
        <v>343800</v>
      </c>
      <c r="AB741" s="11" t="n">
        <f aca="false">SUMPRODUCT((AA741&gt;'Tax Tables'!$A$5:$A$17)*(AA741-'Tax Tables'!$A$5:$A$17)*'Tax Tables'!$C$5:$C$17)</f>
        <v>49786</v>
      </c>
      <c r="AC741" s="11" t="n">
        <f aca="false">IF(W741&lt;0,-1E+099,P741-T741-AB741+Y741+(T741+U741)*Calculator!$B$9)</f>
        <v>348842.675</v>
      </c>
    </row>
    <row r="742" customFormat="false" ht="15" hidden="false" customHeight="false" outlineLevel="0" collapsed="false">
      <c r="A742" s="11" t="n">
        <f aca="false">729*$B$3</f>
        <v>364500</v>
      </c>
      <c r="B742" s="11" t="n">
        <f aca="false">0</f>
        <v>0</v>
      </c>
      <c r="C742" s="11" t="n">
        <f aca="false">A742-B742</f>
        <v>364500</v>
      </c>
      <c r="D742" s="11" t="n">
        <f aca="false">IF(Calculator!$B$6="Yes",MIN(B742,'Tax Tables'!$B$31*'Tax Tables'!$B$32),0)</f>
        <v>0</v>
      </c>
      <c r="E742" s="11" t="n">
        <f aca="false">D742*Calculator!$B$7</f>
        <v>0</v>
      </c>
      <c r="F742" s="11" t="n">
        <f aca="false">D742*Calculator!$B$8</f>
        <v>0</v>
      </c>
      <c r="G742" s="11" t="n">
        <f aca="false">IF(B742&gt;0,'Tax Tables'!$B$32*MIN(MAX(B742/'Tax Tables'!$B$32*'Tax Tables'!$B$33,'Tax Tables'!$B$34),'Tax Tables'!$B$35),0)</f>
        <v>0</v>
      </c>
      <c r="H742" s="11" t="n">
        <f aca="false">Calculator!$B$5-A742-F742-G742</f>
        <v>35500</v>
      </c>
      <c r="I742" s="11" t="n">
        <f aca="false">'Tax Tables'!$B$22*(MAX(H742,0)-IF(Calculator!$B$10="Yes",MIN(MAX(H742,0),'Tax Tables'!$B$27)*'Tax Tables'!$B$28+MIN(MAX(MAX(H742,0)-'Tax Tables'!$B$27,0),'Tax Tables'!$B$29)*'Tax Tables'!$B$30,MIN(MAX(H742,0),'Tax Tables'!$B$23)*'Tax Tables'!$B$24+MIN(MAX(MAX(H742,0)-'Tax Tables'!$B$23,0),'Tax Tables'!$B$25)*'Tax Tables'!$B$26))*1-MIN('Tax Tables'!$B$22*(MAX(H742,0)-IF(Calculator!$B$10="Yes",MIN(MAX(H742,0),'Tax Tables'!$B$27)*'Tax Tables'!$B$28+MIN(MAX(MAX(H742,0)-'Tax Tables'!$B$27,0),'Tax Tables'!$B$29)*'Tax Tables'!$B$30,MIN(MAX(H742,0),'Tax Tables'!$B$23)*'Tax Tables'!$B$24+MIN(MAX(MAX(H742,0)-'Tax Tables'!$B$23,0),'Tax Tables'!$B$25)*'Tax Tables'!$B$26))*Calculator!$B$11,Calculator!$B$12)</f>
        <v>2592.5</v>
      </c>
      <c r="J742" s="11" t="n">
        <f aca="false">MAX(H742,0)-I742</f>
        <v>32907.5</v>
      </c>
      <c r="K742" s="11" t="n">
        <f aca="false">MIN(IF(A742&gt;0,Calculator!$B$13,0)+E742+Calculator!$B$14,'Tax Tables'!$B$36)</f>
        <v>1000</v>
      </c>
      <c r="L742" s="11" t="n">
        <f aca="false">MAX(A742-K742,0)</f>
        <v>363500</v>
      </c>
      <c r="M742" s="11" t="n">
        <f aca="false">SUMPRODUCT((L742&gt;'Tax Tables'!$A$5:$A$17)*(L742-'Tax Tables'!$A$5:$A$17)*'Tax Tables'!$C$5:$C$17)</f>
        <v>54120</v>
      </c>
      <c r="N742" s="11" t="n">
        <f aca="false">IF(H742&lt;0,-1E+099,A742-E742-M742+J742+(E742+F742)*Calculator!$B$9)</f>
        <v>343287.5</v>
      </c>
      <c r="O742" s="2"/>
      <c r="P742" s="11" t="n">
        <f aca="false">729*$B$3</f>
        <v>364500</v>
      </c>
      <c r="Q742" s="11" t="n">
        <f aca="false">MIN(P742,'Tax Tables'!$B$31*'Tax Tables'!$B$32)</f>
        <v>96000</v>
      </c>
      <c r="R742" s="11" t="n">
        <f aca="false">P742-Q742</f>
        <v>268500</v>
      </c>
      <c r="S742" s="11" t="n">
        <f aca="false">IF(Calculator!$B$6="Yes",MIN(Q742,'Tax Tables'!$B$31*'Tax Tables'!$B$32),0)</f>
        <v>96000</v>
      </c>
      <c r="T742" s="11" t="n">
        <f aca="false">S742*Calculator!$B$7</f>
        <v>19200</v>
      </c>
      <c r="U742" s="11" t="n">
        <f aca="false">S742*Calculator!$B$8</f>
        <v>16320</v>
      </c>
      <c r="V742" s="11" t="n">
        <f aca="false">IF(Q742&gt;0,'Tax Tables'!$B$32*MIN(MAX(Q742/'Tax Tables'!$B$32*'Tax Tables'!$B$33,'Tax Tables'!$B$34),'Tax Tables'!$B$35),0)</f>
        <v>135</v>
      </c>
      <c r="W742" s="11" t="n">
        <f aca="false">Calculator!$B$5-P742-U742-V742</f>
        <v>19045</v>
      </c>
      <c r="X742" s="11" t="n">
        <f aca="false">'Tax Tables'!$B$22*(MAX(W742,0)-IF(Calculator!$B$10="Yes",MIN(MAX(W742,0),'Tax Tables'!$B$27)*'Tax Tables'!$B$28+MIN(MAX(MAX(W742,0)-'Tax Tables'!$B$27,0),'Tax Tables'!$B$29)*'Tax Tables'!$B$30,MIN(MAX(W742,0),'Tax Tables'!$B$23)*'Tax Tables'!$B$24+MIN(MAX(MAX(W742,0)-'Tax Tables'!$B$23,0),'Tax Tables'!$B$25)*'Tax Tables'!$B$26))*1-MIN('Tax Tables'!$B$22*(MAX(W742,0)-IF(Calculator!$B$10="Yes",MIN(MAX(W742,0),'Tax Tables'!$B$27)*'Tax Tables'!$B$28+MIN(MAX(MAX(W742,0)-'Tax Tables'!$B$27,0),'Tax Tables'!$B$29)*'Tax Tables'!$B$30,MIN(MAX(W742,0),'Tax Tables'!$B$23)*'Tax Tables'!$B$24+MIN(MAX(MAX(W742,0)-'Tax Tables'!$B$23,0),'Tax Tables'!$B$25)*'Tax Tables'!$B$26))*Calculator!$B$11,Calculator!$B$12)</f>
        <v>1193.825</v>
      </c>
      <c r="Y742" s="11" t="n">
        <f aca="false">MAX(W742,0)-X742</f>
        <v>17851.175</v>
      </c>
      <c r="Z742" s="11" t="n">
        <f aca="false">MIN(IF(P742&gt;0,Calculator!$B$13,0)+T742+Calculator!$B$14,'Tax Tables'!$B$36)</f>
        <v>20200</v>
      </c>
      <c r="AA742" s="11" t="n">
        <f aca="false">MAX(P742-Z742,0)</f>
        <v>344300</v>
      </c>
      <c r="AB742" s="11" t="n">
        <f aca="false">SUMPRODUCT((AA742&gt;'Tax Tables'!$A$5:$A$17)*(AA742-'Tax Tables'!$A$5:$A$17)*'Tax Tables'!$C$5:$C$17)</f>
        <v>49896</v>
      </c>
      <c r="AC742" s="11" t="n">
        <f aca="false">IF(W742&lt;0,-1E+099,P742-T742-AB742+Y742+(T742+U742)*Calculator!$B$9)</f>
        <v>348775.175</v>
      </c>
    </row>
    <row r="743" customFormat="false" ht="15" hidden="false" customHeight="false" outlineLevel="0" collapsed="false">
      <c r="A743" s="11" t="n">
        <f aca="false">730*$B$3</f>
        <v>365000</v>
      </c>
      <c r="B743" s="11" t="n">
        <f aca="false">0</f>
        <v>0</v>
      </c>
      <c r="C743" s="11" t="n">
        <f aca="false">A743-B743</f>
        <v>365000</v>
      </c>
      <c r="D743" s="11" t="n">
        <f aca="false">IF(Calculator!$B$6="Yes",MIN(B743,'Tax Tables'!$B$31*'Tax Tables'!$B$32),0)</f>
        <v>0</v>
      </c>
      <c r="E743" s="11" t="n">
        <f aca="false">D743*Calculator!$B$7</f>
        <v>0</v>
      </c>
      <c r="F743" s="11" t="n">
        <f aca="false">D743*Calculator!$B$8</f>
        <v>0</v>
      </c>
      <c r="G743" s="11" t="n">
        <f aca="false">IF(B743&gt;0,'Tax Tables'!$B$32*MIN(MAX(B743/'Tax Tables'!$B$32*'Tax Tables'!$B$33,'Tax Tables'!$B$34),'Tax Tables'!$B$35),0)</f>
        <v>0</v>
      </c>
      <c r="H743" s="11" t="n">
        <f aca="false">Calculator!$B$5-A743-F743-G743</f>
        <v>35000</v>
      </c>
      <c r="I743" s="11" t="n">
        <f aca="false">'Tax Tables'!$B$22*(MAX(H743,0)-IF(Calculator!$B$10="Yes",MIN(MAX(H743,0),'Tax Tables'!$B$27)*'Tax Tables'!$B$28+MIN(MAX(MAX(H743,0)-'Tax Tables'!$B$27,0),'Tax Tables'!$B$29)*'Tax Tables'!$B$30,MIN(MAX(H743,0),'Tax Tables'!$B$23)*'Tax Tables'!$B$24+MIN(MAX(MAX(H743,0)-'Tax Tables'!$B$23,0),'Tax Tables'!$B$25)*'Tax Tables'!$B$26))*1-MIN('Tax Tables'!$B$22*(MAX(H743,0)-IF(Calculator!$B$10="Yes",MIN(MAX(H743,0),'Tax Tables'!$B$27)*'Tax Tables'!$B$28+MIN(MAX(MAX(H743,0)-'Tax Tables'!$B$27,0),'Tax Tables'!$B$29)*'Tax Tables'!$B$30,MIN(MAX(H743,0),'Tax Tables'!$B$23)*'Tax Tables'!$B$24+MIN(MAX(MAX(H743,0)-'Tax Tables'!$B$23,0),'Tax Tables'!$B$25)*'Tax Tables'!$B$26))*Calculator!$B$11,Calculator!$B$12)</f>
        <v>2550</v>
      </c>
      <c r="J743" s="11" t="n">
        <f aca="false">MAX(H743,0)-I743</f>
        <v>32450</v>
      </c>
      <c r="K743" s="11" t="n">
        <f aca="false">MIN(IF(A743&gt;0,Calculator!$B$13,0)+E743+Calculator!$B$14,'Tax Tables'!$B$36)</f>
        <v>1000</v>
      </c>
      <c r="L743" s="11" t="n">
        <f aca="false">MAX(A743-K743,0)</f>
        <v>364000</v>
      </c>
      <c r="M743" s="11" t="n">
        <f aca="false">SUMPRODUCT((L743&gt;'Tax Tables'!$A$5:$A$17)*(L743-'Tax Tables'!$A$5:$A$17)*'Tax Tables'!$C$5:$C$17)</f>
        <v>54230</v>
      </c>
      <c r="N743" s="11" t="n">
        <f aca="false">IF(H743&lt;0,-1E+099,A743-E743-M743+J743+(E743+F743)*Calculator!$B$9)</f>
        <v>343220</v>
      </c>
      <c r="O743" s="2"/>
      <c r="P743" s="11" t="n">
        <f aca="false">730*$B$3</f>
        <v>365000</v>
      </c>
      <c r="Q743" s="11" t="n">
        <f aca="false">MIN(P743,'Tax Tables'!$B$31*'Tax Tables'!$B$32)</f>
        <v>96000</v>
      </c>
      <c r="R743" s="11" t="n">
        <f aca="false">P743-Q743</f>
        <v>269000</v>
      </c>
      <c r="S743" s="11" t="n">
        <f aca="false">IF(Calculator!$B$6="Yes",MIN(Q743,'Tax Tables'!$B$31*'Tax Tables'!$B$32),0)</f>
        <v>96000</v>
      </c>
      <c r="T743" s="11" t="n">
        <f aca="false">S743*Calculator!$B$7</f>
        <v>19200</v>
      </c>
      <c r="U743" s="11" t="n">
        <f aca="false">S743*Calculator!$B$8</f>
        <v>16320</v>
      </c>
      <c r="V743" s="11" t="n">
        <f aca="false">IF(Q743&gt;0,'Tax Tables'!$B$32*MIN(MAX(Q743/'Tax Tables'!$B$32*'Tax Tables'!$B$33,'Tax Tables'!$B$34),'Tax Tables'!$B$35),0)</f>
        <v>135</v>
      </c>
      <c r="W743" s="11" t="n">
        <f aca="false">Calculator!$B$5-P743-U743-V743</f>
        <v>18545</v>
      </c>
      <c r="X743" s="11" t="n">
        <f aca="false">'Tax Tables'!$B$22*(MAX(W743,0)-IF(Calculator!$B$10="Yes",MIN(MAX(W743,0),'Tax Tables'!$B$27)*'Tax Tables'!$B$28+MIN(MAX(MAX(W743,0)-'Tax Tables'!$B$27,0),'Tax Tables'!$B$29)*'Tax Tables'!$B$30,MIN(MAX(W743,0),'Tax Tables'!$B$23)*'Tax Tables'!$B$24+MIN(MAX(MAX(W743,0)-'Tax Tables'!$B$23,0),'Tax Tables'!$B$25)*'Tax Tables'!$B$26))*1-MIN('Tax Tables'!$B$22*(MAX(W743,0)-IF(Calculator!$B$10="Yes",MIN(MAX(W743,0),'Tax Tables'!$B$27)*'Tax Tables'!$B$28+MIN(MAX(MAX(W743,0)-'Tax Tables'!$B$27,0),'Tax Tables'!$B$29)*'Tax Tables'!$B$30,MIN(MAX(W743,0),'Tax Tables'!$B$23)*'Tax Tables'!$B$24+MIN(MAX(MAX(W743,0)-'Tax Tables'!$B$23,0),'Tax Tables'!$B$25)*'Tax Tables'!$B$26))*Calculator!$B$11,Calculator!$B$12)</f>
        <v>1151.325</v>
      </c>
      <c r="Y743" s="11" t="n">
        <f aca="false">MAX(W743,0)-X743</f>
        <v>17393.675</v>
      </c>
      <c r="Z743" s="11" t="n">
        <f aca="false">MIN(IF(P743&gt;0,Calculator!$B$13,0)+T743+Calculator!$B$14,'Tax Tables'!$B$36)</f>
        <v>20200</v>
      </c>
      <c r="AA743" s="11" t="n">
        <f aca="false">MAX(P743-Z743,0)</f>
        <v>344800</v>
      </c>
      <c r="AB743" s="11" t="n">
        <f aca="false">SUMPRODUCT((AA743&gt;'Tax Tables'!$A$5:$A$17)*(AA743-'Tax Tables'!$A$5:$A$17)*'Tax Tables'!$C$5:$C$17)</f>
        <v>50006</v>
      </c>
      <c r="AC743" s="11" t="n">
        <f aca="false">IF(W743&lt;0,-1E+099,P743-T743-AB743+Y743+(T743+U743)*Calculator!$B$9)</f>
        <v>348707.675</v>
      </c>
    </row>
    <row r="744" customFormat="false" ht="15" hidden="false" customHeight="false" outlineLevel="0" collapsed="false">
      <c r="A744" s="11" t="n">
        <f aca="false">731*$B$3</f>
        <v>365500</v>
      </c>
      <c r="B744" s="11" t="n">
        <f aca="false">0</f>
        <v>0</v>
      </c>
      <c r="C744" s="11" t="n">
        <f aca="false">A744-B744</f>
        <v>365500</v>
      </c>
      <c r="D744" s="11" t="n">
        <f aca="false">IF(Calculator!$B$6="Yes",MIN(B744,'Tax Tables'!$B$31*'Tax Tables'!$B$32),0)</f>
        <v>0</v>
      </c>
      <c r="E744" s="11" t="n">
        <f aca="false">D744*Calculator!$B$7</f>
        <v>0</v>
      </c>
      <c r="F744" s="11" t="n">
        <f aca="false">D744*Calculator!$B$8</f>
        <v>0</v>
      </c>
      <c r="G744" s="11" t="n">
        <f aca="false">IF(B744&gt;0,'Tax Tables'!$B$32*MIN(MAX(B744/'Tax Tables'!$B$32*'Tax Tables'!$B$33,'Tax Tables'!$B$34),'Tax Tables'!$B$35),0)</f>
        <v>0</v>
      </c>
      <c r="H744" s="11" t="n">
        <f aca="false">Calculator!$B$5-A744-F744-G744</f>
        <v>34500</v>
      </c>
      <c r="I744" s="11" t="n">
        <f aca="false">'Tax Tables'!$B$22*(MAX(H744,0)-IF(Calculator!$B$10="Yes",MIN(MAX(H744,0),'Tax Tables'!$B$27)*'Tax Tables'!$B$28+MIN(MAX(MAX(H744,0)-'Tax Tables'!$B$27,0),'Tax Tables'!$B$29)*'Tax Tables'!$B$30,MIN(MAX(H744,0),'Tax Tables'!$B$23)*'Tax Tables'!$B$24+MIN(MAX(MAX(H744,0)-'Tax Tables'!$B$23,0),'Tax Tables'!$B$25)*'Tax Tables'!$B$26))*1-MIN('Tax Tables'!$B$22*(MAX(H744,0)-IF(Calculator!$B$10="Yes",MIN(MAX(H744,0),'Tax Tables'!$B$27)*'Tax Tables'!$B$28+MIN(MAX(MAX(H744,0)-'Tax Tables'!$B$27,0),'Tax Tables'!$B$29)*'Tax Tables'!$B$30,MIN(MAX(H744,0),'Tax Tables'!$B$23)*'Tax Tables'!$B$24+MIN(MAX(MAX(H744,0)-'Tax Tables'!$B$23,0),'Tax Tables'!$B$25)*'Tax Tables'!$B$26))*Calculator!$B$11,Calculator!$B$12)</f>
        <v>2507.5</v>
      </c>
      <c r="J744" s="11" t="n">
        <f aca="false">MAX(H744,0)-I744</f>
        <v>31992.5</v>
      </c>
      <c r="K744" s="11" t="n">
        <f aca="false">MIN(IF(A744&gt;0,Calculator!$B$13,0)+E744+Calculator!$B$14,'Tax Tables'!$B$36)</f>
        <v>1000</v>
      </c>
      <c r="L744" s="11" t="n">
        <f aca="false">MAX(A744-K744,0)</f>
        <v>364500</v>
      </c>
      <c r="M744" s="11" t="n">
        <f aca="false">SUMPRODUCT((L744&gt;'Tax Tables'!$A$5:$A$17)*(L744-'Tax Tables'!$A$5:$A$17)*'Tax Tables'!$C$5:$C$17)</f>
        <v>54340</v>
      </c>
      <c r="N744" s="11" t="n">
        <f aca="false">IF(H744&lt;0,-1E+099,A744-E744-M744+J744+(E744+F744)*Calculator!$B$9)</f>
        <v>343152.5</v>
      </c>
      <c r="O744" s="2"/>
      <c r="P744" s="11" t="n">
        <f aca="false">731*$B$3</f>
        <v>365500</v>
      </c>
      <c r="Q744" s="11" t="n">
        <f aca="false">MIN(P744,'Tax Tables'!$B$31*'Tax Tables'!$B$32)</f>
        <v>96000</v>
      </c>
      <c r="R744" s="11" t="n">
        <f aca="false">P744-Q744</f>
        <v>269500</v>
      </c>
      <c r="S744" s="11" t="n">
        <f aca="false">IF(Calculator!$B$6="Yes",MIN(Q744,'Tax Tables'!$B$31*'Tax Tables'!$B$32),0)</f>
        <v>96000</v>
      </c>
      <c r="T744" s="11" t="n">
        <f aca="false">S744*Calculator!$B$7</f>
        <v>19200</v>
      </c>
      <c r="U744" s="11" t="n">
        <f aca="false">S744*Calculator!$B$8</f>
        <v>16320</v>
      </c>
      <c r="V744" s="11" t="n">
        <f aca="false">IF(Q744&gt;0,'Tax Tables'!$B$32*MIN(MAX(Q744/'Tax Tables'!$B$32*'Tax Tables'!$B$33,'Tax Tables'!$B$34),'Tax Tables'!$B$35),0)</f>
        <v>135</v>
      </c>
      <c r="W744" s="11" t="n">
        <f aca="false">Calculator!$B$5-P744-U744-V744</f>
        <v>18045</v>
      </c>
      <c r="X744" s="11" t="n">
        <f aca="false">'Tax Tables'!$B$22*(MAX(W744,0)-IF(Calculator!$B$10="Yes",MIN(MAX(W744,0),'Tax Tables'!$B$27)*'Tax Tables'!$B$28+MIN(MAX(MAX(W744,0)-'Tax Tables'!$B$27,0),'Tax Tables'!$B$29)*'Tax Tables'!$B$30,MIN(MAX(W744,0),'Tax Tables'!$B$23)*'Tax Tables'!$B$24+MIN(MAX(MAX(W744,0)-'Tax Tables'!$B$23,0),'Tax Tables'!$B$25)*'Tax Tables'!$B$26))*1-MIN('Tax Tables'!$B$22*(MAX(W744,0)-IF(Calculator!$B$10="Yes",MIN(MAX(W744,0),'Tax Tables'!$B$27)*'Tax Tables'!$B$28+MIN(MAX(MAX(W744,0)-'Tax Tables'!$B$27,0),'Tax Tables'!$B$29)*'Tax Tables'!$B$30,MIN(MAX(W744,0),'Tax Tables'!$B$23)*'Tax Tables'!$B$24+MIN(MAX(MAX(W744,0)-'Tax Tables'!$B$23,0),'Tax Tables'!$B$25)*'Tax Tables'!$B$26))*Calculator!$B$11,Calculator!$B$12)</f>
        <v>1108.825</v>
      </c>
      <c r="Y744" s="11" t="n">
        <f aca="false">MAX(W744,0)-X744</f>
        <v>16936.175</v>
      </c>
      <c r="Z744" s="11" t="n">
        <f aca="false">MIN(IF(P744&gt;0,Calculator!$B$13,0)+T744+Calculator!$B$14,'Tax Tables'!$B$36)</f>
        <v>20200</v>
      </c>
      <c r="AA744" s="11" t="n">
        <f aca="false">MAX(P744-Z744,0)</f>
        <v>345300</v>
      </c>
      <c r="AB744" s="11" t="n">
        <f aca="false">SUMPRODUCT((AA744&gt;'Tax Tables'!$A$5:$A$17)*(AA744-'Tax Tables'!$A$5:$A$17)*'Tax Tables'!$C$5:$C$17)</f>
        <v>50116</v>
      </c>
      <c r="AC744" s="11" t="n">
        <f aca="false">IF(W744&lt;0,-1E+099,P744-T744-AB744+Y744+(T744+U744)*Calculator!$B$9)</f>
        <v>348640.175</v>
      </c>
    </row>
    <row r="745" customFormat="false" ht="15" hidden="false" customHeight="false" outlineLevel="0" collapsed="false">
      <c r="A745" s="11" t="n">
        <f aca="false">732*$B$3</f>
        <v>366000</v>
      </c>
      <c r="B745" s="11" t="n">
        <f aca="false">0</f>
        <v>0</v>
      </c>
      <c r="C745" s="11" t="n">
        <f aca="false">A745-B745</f>
        <v>366000</v>
      </c>
      <c r="D745" s="11" t="n">
        <f aca="false">IF(Calculator!$B$6="Yes",MIN(B745,'Tax Tables'!$B$31*'Tax Tables'!$B$32),0)</f>
        <v>0</v>
      </c>
      <c r="E745" s="11" t="n">
        <f aca="false">D745*Calculator!$B$7</f>
        <v>0</v>
      </c>
      <c r="F745" s="11" t="n">
        <f aca="false">D745*Calculator!$B$8</f>
        <v>0</v>
      </c>
      <c r="G745" s="11" t="n">
        <f aca="false">IF(B745&gt;0,'Tax Tables'!$B$32*MIN(MAX(B745/'Tax Tables'!$B$32*'Tax Tables'!$B$33,'Tax Tables'!$B$34),'Tax Tables'!$B$35),0)</f>
        <v>0</v>
      </c>
      <c r="H745" s="11" t="n">
        <f aca="false">Calculator!$B$5-A745-F745-G745</f>
        <v>34000</v>
      </c>
      <c r="I745" s="11" t="n">
        <f aca="false">'Tax Tables'!$B$22*(MAX(H745,0)-IF(Calculator!$B$10="Yes",MIN(MAX(H745,0),'Tax Tables'!$B$27)*'Tax Tables'!$B$28+MIN(MAX(MAX(H745,0)-'Tax Tables'!$B$27,0),'Tax Tables'!$B$29)*'Tax Tables'!$B$30,MIN(MAX(H745,0),'Tax Tables'!$B$23)*'Tax Tables'!$B$24+MIN(MAX(MAX(H745,0)-'Tax Tables'!$B$23,0),'Tax Tables'!$B$25)*'Tax Tables'!$B$26))*1-MIN('Tax Tables'!$B$22*(MAX(H745,0)-IF(Calculator!$B$10="Yes",MIN(MAX(H745,0),'Tax Tables'!$B$27)*'Tax Tables'!$B$28+MIN(MAX(MAX(H745,0)-'Tax Tables'!$B$27,0),'Tax Tables'!$B$29)*'Tax Tables'!$B$30,MIN(MAX(H745,0),'Tax Tables'!$B$23)*'Tax Tables'!$B$24+MIN(MAX(MAX(H745,0)-'Tax Tables'!$B$23,0),'Tax Tables'!$B$25)*'Tax Tables'!$B$26))*Calculator!$B$11,Calculator!$B$12)</f>
        <v>2465</v>
      </c>
      <c r="J745" s="11" t="n">
        <f aca="false">MAX(H745,0)-I745</f>
        <v>31535</v>
      </c>
      <c r="K745" s="11" t="n">
        <f aca="false">MIN(IF(A745&gt;0,Calculator!$B$13,0)+E745+Calculator!$B$14,'Tax Tables'!$B$36)</f>
        <v>1000</v>
      </c>
      <c r="L745" s="11" t="n">
        <f aca="false">MAX(A745-K745,0)</f>
        <v>365000</v>
      </c>
      <c r="M745" s="11" t="n">
        <f aca="false">SUMPRODUCT((L745&gt;'Tax Tables'!$A$5:$A$17)*(L745-'Tax Tables'!$A$5:$A$17)*'Tax Tables'!$C$5:$C$17)</f>
        <v>54450</v>
      </c>
      <c r="N745" s="11" t="n">
        <f aca="false">IF(H745&lt;0,-1E+099,A745-E745-M745+J745+(E745+F745)*Calculator!$B$9)</f>
        <v>343085</v>
      </c>
      <c r="O745" s="2"/>
      <c r="P745" s="11" t="n">
        <f aca="false">732*$B$3</f>
        <v>366000</v>
      </c>
      <c r="Q745" s="11" t="n">
        <f aca="false">MIN(P745,'Tax Tables'!$B$31*'Tax Tables'!$B$32)</f>
        <v>96000</v>
      </c>
      <c r="R745" s="11" t="n">
        <f aca="false">P745-Q745</f>
        <v>270000</v>
      </c>
      <c r="S745" s="11" t="n">
        <f aca="false">IF(Calculator!$B$6="Yes",MIN(Q745,'Tax Tables'!$B$31*'Tax Tables'!$B$32),0)</f>
        <v>96000</v>
      </c>
      <c r="T745" s="11" t="n">
        <f aca="false">S745*Calculator!$B$7</f>
        <v>19200</v>
      </c>
      <c r="U745" s="11" t="n">
        <f aca="false">S745*Calculator!$B$8</f>
        <v>16320</v>
      </c>
      <c r="V745" s="11" t="n">
        <f aca="false">IF(Q745&gt;0,'Tax Tables'!$B$32*MIN(MAX(Q745/'Tax Tables'!$B$32*'Tax Tables'!$B$33,'Tax Tables'!$B$34),'Tax Tables'!$B$35),0)</f>
        <v>135</v>
      </c>
      <c r="W745" s="11" t="n">
        <f aca="false">Calculator!$B$5-P745-U745-V745</f>
        <v>17545</v>
      </c>
      <c r="X745" s="11" t="n">
        <f aca="false">'Tax Tables'!$B$22*(MAX(W745,0)-IF(Calculator!$B$10="Yes",MIN(MAX(W745,0),'Tax Tables'!$B$27)*'Tax Tables'!$B$28+MIN(MAX(MAX(W745,0)-'Tax Tables'!$B$27,0),'Tax Tables'!$B$29)*'Tax Tables'!$B$30,MIN(MAX(W745,0),'Tax Tables'!$B$23)*'Tax Tables'!$B$24+MIN(MAX(MAX(W745,0)-'Tax Tables'!$B$23,0),'Tax Tables'!$B$25)*'Tax Tables'!$B$26))*1-MIN('Tax Tables'!$B$22*(MAX(W745,0)-IF(Calculator!$B$10="Yes",MIN(MAX(W745,0),'Tax Tables'!$B$27)*'Tax Tables'!$B$28+MIN(MAX(MAX(W745,0)-'Tax Tables'!$B$27,0),'Tax Tables'!$B$29)*'Tax Tables'!$B$30,MIN(MAX(W745,0),'Tax Tables'!$B$23)*'Tax Tables'!$B$24+MIN(MAX(MAX(W745,0)-'Tax Tables'!$B$23,0),'Tax Tables'!$B$25)*'Tax Tables'!$B$26))*Calculator!$B$11,Calculator!$B$12)</f>
        <v>1066.325</v>
      </c>
      <c r="Y745" s="11" t="n">
        <f aca="false">MAX(W745,0)-X745</f>
        <v>16478.675</v>
      </c>
      <c r="Z745" s="11" t="n">
        <f aca="false">MIN(IF(P745&gt;0,Calculator!$B$13,0)+T745+Calculator!$B$14,'Tax Tables'!$B$36)</f>
        <v>20200</v>
      </c>
      <c r="AA745" s="11" t="n">
        <f aca="false">MAX(P745-Z745,0)</f>
        <v>345800</v>
      </c>
      <c r="AB745" s="11" t="n">
        <f aca="false">SUMPRODUCT((AA745&gt;'Tax Tables'!$A$5:$A$17)*(AA745-'Tax Tables'!$A$5:$A$17)*'Tax Tables'!$C$5:$C$17)</f>
        <v>50226</v>
      </c>
      <c r="AC745" s="11" t="n">
        <f aca="false">IF(W745&lt;0,-1E+099,P745-T745-AB745+Y745+(T745+U745)*Calculator!$B$9)</f>
        <v>348572.675</v>
      </c>
    </row>
    <row r="746" customFormat="false" ht="15" hidden="false" customHeight="false" outlineLevel="0" collapsed="false">
      <c r="A746" s="11" t="n">
        <f aca="false">733*$B$3</f>
        <v>366500</v>
      </c>
      <c r="B746" s="11" t="n">
        <f aca="false">0</f>
        <v>0</v>
      </c>
      <c r="C746" s="11" t="n">
        <f aca="false">A746-B746</f>
        <v>366500</v>
      </c>
      <c r="D746" s="11" t="n">
        <f aca="false">IF(Calculator!$B$6="Yes",MIN(B746,'Tax Tables'!$B$31*'Tax Tables'!$B$32),0)</f>
        <v>0</v>
      </c>
      <c r="E746" s="11" t="n">
        <f aca="false">D746*Calculator!$B$7</f>
        <v>0</v>
      </c>
      <c r="F746" s="11" t="n">
        <f aca="false">D746*Calculator!$B$8</f>
        <v>0</v>
      </c>
      <c r="G746" s="11" t="n">
        <f aca="false">IF(B746&gt;0,'Tax Tables'!$B$32*MIN(MAX(B746/'Tax Tables'!$B$32*'Tax Tables'!$B$33,'Tax Tables'!$B$34),'Tax Tables'!$B$35),0)</f>
        <v>0</v>
      </c>
      <c r="H746" s="11" t="n">
        <f aca="false">Calculator!$B$5-A746-F746-G746</f>
        <v>33500</v>
      </c>
      <c r="I746" s="11" t="n">
        <f aca="false">'Tax Tables'!$B$22*(MAX(H746,0)-IF(Calculator!$B$10="Yes",MIN(MAX(H746,0),'Tax Tables'!$B$27)*'Tax Tables'!$B$28+MIN(MAX(MAX(H746,0)-'Tax Tables'!$B$27,0),'Tax Tables'!$B$29)*'Tax Tables'!$B$30,MIN(MAX(H746,0),'Tax Tables'!$B$23)*'Tax Tables'!$B$24+MIN(MAX(MAX(H746,0)-'Tax Tables'!$B$23,0),'Tax Tables'!$B$25)*'Tax Tables'!$B$26))*1-MIN('Tax Tables'!$B$22*(MAX(H746,0)-IF(Calculator!$B$10="Yes",MIN(MAX(H746,0),'Tax Tables'!$B$27)*'Tax Tables'!$B$28+MIN(MAX(MAX(H746,0)-'Tax Tables'!$B$27,0),'Tax Tables'!$B$29)*'Tax Tables'!$B$30,MIN(MAX(H746,0),'Tax Tables'!$B$23)*'Tax Tables'!$B$24+MIN(MAX(MAX(H746,0)-'Tax Tables'!$B$23,0),'Tax Tables'!$B$25)*'Tax Tables'!$B$26))*Calculator!$B$11,Calculator!$B$12)</f>
        <v>2422.5</v>
      </c>
      <c r="J746" s="11" t="n">
        <f aca="false">MAX(H746,0)-I746</f>
        <v>31077.5</v>
      </c>
      <c r="K746" s="11" t="n">
        <f aca="false">MIN(IF(A746&gt;0,Calculator!$B$13,0)+E746+Calculator!$B$14,'Tax Tables'!$B$36)</f>
        <v>1000</v>
      </c>
      <c r="L746" s="11" t="n">
        <f aca="false">MAX(A746-K746,0)</f>
        <v>365500</v>
      </c>
      <c r="M746" s="11" t="n">
        <f aca="false">SUMPRODUCT((L746&gt;'Tax Tables'!$A$5:$A$17)*(L746-'Tax Tables'!$A$5:$A$17)*'Tax Tables'!$C$5:$C$17)</f>
        <v>54560</v>
      </c>
      <c r="N746" s="11" t="n">
        <f aca="false">IF(H746&lt;0,-1E+099,A746-E746-M746+J746+(E746+F746)*Calculator!$B$9)</f>
        <v>343017.5</v>
      </c>
      <c r="O746" s="2"/>
      <c r="P746" s="11" t="n">
        <f aca="false">733*$B$3</f>
        <v>366500</v>
      </c>
      <c r="Q746" s="11" t="n">
        <f aca="false">MIN(P746,'Tax Tables'!$B$31*'Tax Tables'!$B$32)</f>
        <v>96000</v>
      </c>
      <c r="R746" s="11" t="n">
        <f aca="false">P746-Q746</f>
        <v>270500</v>
      </c>
      <c r="S746" s="11" t="n">
        <f aca="false">IF(Calculator!$B$6="Yes",MIN(Q746,'Tax Tables'!$B$31*'Tax Tables'!$B$32),0)</f>
        <v>96000</v>
      </c>
      <c r="T746" s="11" t="n">
        <f aca="false">S746*Calculator!$B$7</f>
        <v>19200</v>
      </c>
      <c r="U746" s="11" t="n">
        <f aca="false">S746*Calculator!$B$8</f>
        <v>16320</v>
      </c>
      <c r="V746" s="11" t="n">
        <f aca="false">IF(Q746&gt;0,'Tax Tables'!$B$32*MIN(MAX(Q746/'Tax Tables'!$B$32*'Tax Tables'!$B$33,'Tax Tables'!$B$34),'Tax Tables'!$B$35),0)</f>
        <v>135</v>
      </c>
      <c r="W746" s="11" t="n">
        <f aca="false">Calculator!$B$5-P746-U746-V746</f>
        <v>17045</v>
      </c>
      <c r="X746" s="11" t="n">
        <f aca="false">'Tax Tables'!$B$22*(MAX(W746,0)-IF(Calculator!$B$10="Yes",MIN(MAX(W746,0),'Tax Tables'!$B$27)*'Tax Tables'!$B$28+MIN(MAX(MAX(W746,0)-'Tax Tables'!$B$27,0),'Tax Tables'!$B$29)*'Tax Tables'!$B$30,MIN(MAX(W746,0),'Tax Tables'!$B$23)*'Tax Tables'!$B$24+MIN(MAX(MAX(W746,0)-'Tax Tables'!$B$23,0),'Tax Tables'!$B$25)*'Tax Tables'!$B$26))*1-MIN('Tax Tables'!$B$22*(MAX(W746,0)-IF(Calculator!$B$10="Yes",MIN(MAX(W746,0),'Tax Tables'!$B$27)*'Tax Tables'!$B$28+MIN(MAX(MAX(W746,0)-'Tax Tables'!$B$27,0),'Tax Tables'!$B$29)*'Tax Tables'!$B$30,MIN(MAX(W746,0),'Tax Tables'!$B$23)*'Tax Tables'!$B$24+MIN(MAX(MAX(W746,0)-'Tax Tables'!$B$23,0),'Tax Tables'!$B$25)*'Tax Tables'!$B$26))*Calculator!$B$11,Calculator!$B$12)</f>
        <v>1023.825</v>
      </c>
      <c r="Y746" s="11" t="n">
        <f aca="false">MAX(W746,0)-X746</f>
        <v>16021.175</v>
      </c>
      <c r="Z746" s="11" t="n">
        <f aca="false">MIN(IF(P746&gt;0,Calculator!$B$13,0)+T746+Calculator!$B$14,'Tax Tables'!$B$36)</f>
        <v>20200</v>
      </c>
      <c r="AA746" s="11" t="n">
        <f aca="false">MAX(P746-Z746,0)</f>
        <v>346300</v>
      </c>
      <c r="AB746" s="11" t="n">
        <f aca="false">SUMPRODUCT((AA746&gt;'Tax Tables'!$A$5:$A$17)*(AA746-'Tax Tables'!$A$5:$A$17)*'Tax Tables'!$C$5:$C$17)</f>
        <v>50336</v>
      </c>
      <c r="AC746" s="11" t="n">
        <f aca="false">IF(W746&lt;0,-1E+099,P746-T746-AB746+Y746+(T746+U746)*Calculator!$B$9)</f>
        <v>348505.175</v>
      </c>
    </row>
    <row r="747" customFormat="false" ht="15" hidden="false" customHeight="false" outlineLevel="0" collapsed="false">
      <c r="A747" s="11" t="n">
        <f aca="false">734*$B$3</f>
        <v>367000</v>
      </c>
      <c r="B747" s="11" t="n">
        <f aca="false">0</f>
        <v>0</v>
      </c>
      <c r="C747" s="11" t="n">
        <f aca="false">A747-B747</f>
        <v>367000</v>
      </c>
      <c r="D747" s="11" t="n">
        <f aca="false">IF(Calculator!$B$6="Yes",MIN(B747,'Tax Tables'!$B$31*'Tax Tables'!$B$32),0)</f>
        <v>0</v>
      </c>
      <c r="E747" s="11" t="n">
        <f aca="false">D747*Calculator!$B$7</f>
        <v>0</v>
      </c>
      <c r="F747" s="11" t="n">
        <f aca="false">D747*Calculator!$B$8</f>
        <v>0</v>
      </c>
      <c r="G747" s="11" t="n">
        <f aca="false">IF(B747&gt;0,'Tax Tables'!$B$32*MIN(MAX(B747/'Tax Tables'!$B$32*'Tax Tables'!$B$33,'Tax Tables'!$B$34),'Tax Tables'!$B$35),0)</f>
        <v>0</v>
      </c>
      <c r="H747" s="11" t="n">
        <f aca="false">Calculator!$B$5-A747-F747-G747</f>
        <v>33000</v>
      </c>
      <c r="I747" s="11" t="n">
        <f aca="false">'Tax Tables'!$B$22*(MAX(H747,0)-IF(Calculator!$B$10="Yes",MIN(MAX(H747,0),'Tax Tables'!$B$27)*'Tax Tables'!$B$28+MIN(MAX(MAX(H747,0)-'Tax Tables'!$B$27,0),'Tax Tables'!$B$29)*'Tax Tables'!$B$30,MIN(MAX(H747,0),'Tax Tables'!$B$23)*'Tax Tables'!$B$24+MIN(MAX(MAX(H747,0)-'Tax Tables'!$B$23,0),'Tax Tables'!$B$25)*'Tax Tables'!$B$26))*1-MIN('Tax Tables'!$B$22*(MAX(H747,0)-IF(Calculator!$B$10="Yes",MIN(MAX(H747,0),'Tax Tables'!$B$27)*'Tax Tables'!$B$28+MIN(MAX(MAX(H747,0)-'Tax Tables'!$B$27,0),'Tax Tables'!$B$29)*'Tax Tables'!$B$30,MIN(MAX(H747,0),'Tax Tables'!$B$23)*'Tax Tables'!$B$24+MIN(MAX(MAX(H747,0)-'Tax Tables'!$B$23,0),'Tax Tables'!$B$25)*'Tax Tables'!$B$26))*Calculator!$B$11,Calculator!$B$12)</f>
        <v>2380</v>
      </c>
      <c r="J747" s="11" t="n">
        <f aca="false">MAX(H747,0)-I747</f>
        <v>30620</v>
      </c>
      <c r="K747" s="11" t="n">
        <f aca="false">MIN(IF(A747&gt;0,Calculator!$B$13,0)+E747+Calculator!$B$14,'Tax Tables'!$B$36)</f>
        <v>1000</v>
      </c>
      <c r="L747" s="11" t="n">
        <f aca="false">MAX(A747-K747,0)</f>
        <v>366000</v>
      </c>
      <c r="M747" s="11" t="n">
        <f aca="false">SUMPRODUCT((L747&gt;'Tax Tables'!$A$5:$A$17)*(L747-'Tax Tables'!$A$5:$A$17)*'Tax Tables'!$C$5:$C$17)</f>
        <v>54670</v>
      </c>
      <c r="N747" s="11" t="n">
        <f aca="false">IF(H747&lt;0,-1E+099,A747-E747-M747+J747+(E747+F747)*Calculator!$B$9)</f>
        <v>342950</v>
      </c>
      <c r="O747" s="2"/>
      <c r="P747" s="11" t="n">
        <f aca="false">734*$B$3</f>
        <v>367000</v>
      </c>
      <c r="Q747" s="11" t="n">
        <f aca="false">MIN(P747,'Tax Tables'!$B$31*'Tax Tables'!$B$32)</f>
        <v>96000</v>
      </c>
      <c r="R747" s="11" t="n">
        <f aca="false">P747-Q747</f>
        <v>271000</v>
      </c>
      <c r="S747" s="11" t="n">
        <f aca="false">IF(Calculator!$B$6="Yes",MIN(Q747,'Tax Tables'!$B$31*'Tax Tables'!$B$32),0)</f>
        <v>96000</v>
      </c>
      <c r="T747" s="11" t="n">
        <f aca="false">S747*Calculator!$B$7</f>
        <v>19200</v>
      </c>
      <c r="U747" s="11" t="n">
        <f aca="false">S747*Calculator!$B$8</f>
        <v>16320</v>
      </c>
      <c r="V747" s="11" t="n">
        <f aca="false">IF(Q747&gt;0,'Tax Tables'!$B$32*MIN(MAX(Q747/'Tax Tables'!$B$32*'Tax Tables'!$B$33,'Tax Tables'!$B$34),'Tax Tables'!$B$35),0)</f>
        <v>135</v>
      </c>
      <c r="W747" s="11" t="n">
        <f aca="false">Calculator!$B$5-P747-U747-V747</f>
        <v>16545</v>
      </c>
      <c r="X747" s="11" t="n">
        <f aca="false">'Tax Tables'!$B$22*(MAX(W747,0)-IF(Calculator!$B$10="Yes",MIN(MAX(W747,0),'Tax Tables'!$B$27)*'Tax Tables'!$B$28+MIN(MAX(MAX(W747,0)-'Tax Tables'!$B$27,0),'Tax Tables'!$B$29)*'Tax Tables'!$B$30,MIN(MAX(W747,0),'Tax Tables'!$B$23)*'Tax Tables'!$B$24+MIN(MAX(MAX(W747,0)-'Tax Tables'!$B$23,0),'Tax Tables'!$B$25)*'Tax Tables'!$B$26))*1-MIN('Tax Tables'!$B$22*(MAX(W747,0)-IF(Calculator!$B$10="Yes",MIN(MAX(W747,0),'Tax Tables'!$B$27)*'Tax Tables'!$B$28+MIN(MAX(MAX(W747,0)-'Tax Tables'!$B$27,0),'Tax Tables'!$B$29)*'Tax Tables'!$B$30,MIN(MAX(W747,0),'Tax Tables'!$B$23)*'Tax Tables'!$B$24+MIN(MAX(MAX(W747,0)-'Tax Tables'!$B$23,0),'Tax Tables'!$B$25)*'Tax Tables'!$B$26))*Calculator!$B$11,Calculator!$B$12)</f>
        <v>981.325</v>
      </c>
      <c r="Y747" s="11" t="n">
        <f aca="false">MAX(W747,0)-X747</f>
        <v>15563.675</v>
      </c>
      <c r="Z747" s="11" t="n">
        <f aca="false">MIN(IF(P747&gt;0,Calculator!$B$13,0)+T747+Calculator!$B$14,'Tax Tables'!$B$36)</f>
        <v>20200</v>
      </c>
      <c r="AA747" s="11" t="n">
        <f aca="false">MAX(P747-Z747,0)</f>
        <v>346800</v>
      </c>
      <c r="AB747" s="11" t="n">
        <f aca="false">SUMPRODUCT((AA747&gt;'Tax Tables'!$A$5:$A$17)*(AA747-'Tax Tables'!$A$5:$A$17)*'Tax Tables'!$C$5:$C$17)</f>
        <v>50446</v>
      </c>
      <c r="AC747" s="11" t="n">
        <f aca="false">IF(W747&lt;0,-1E+099,P747-T747-AB747+Y747+(T747+U747)*Calculator!$B$9)</f>
        <v>348437.675</v>
      </c>
    </row>
    <row r="748" customFormat="false" ht="15" hidden="false" customHeight="false" outlineLevel="0" collapsed="false">
      <c r="A748" s="11" t="n">
        <f aca="false">735*$B$3</f>
        <v>367500</v>
      </c>
      <c r="B748" s="11" t="n">
        <f aca="false">0</f>
        <v>0</v>
      </c>
      <c r="C748" s="11" t="n">
        <f aca="false">A748-B748</f>
        <v>367500</v>
      </c>
      <c r="D748" s="11" t="n">
        <f aca="false">IF(Calculator!$B$6="Yes",MIN(B748,'Tax Tables'!$B$31*'Tax Tables'!$B$32),0)</f>
        <v>0</v>
      </c>
      <c r="E748" s="11" t="n">
        <f aca="false">D748*Calculator!$B$7</f>
        <v>0</v>
      </c>
      <c r="F748" s="11" t="n">
        <f aca="false">D748*Calculator!$B$8</f>
        <v>0</v>
      </c>
      <c r="G748" s="11" t="n">
        <f aca="false">IF(B748&gt;0,'Tax Tables'!$B$32*MIN(MAX(B748/'Tax Tables'!$B$32*'Tax Tables'!$B$33,'Tax Tables'!$B$34),'Tax Tables'!$B$35),0)</f>
        <v>0</v>
      </c>
      <c r="H748" s="11" t="n">
        <f aca="false">Calculator!$B$5-A748-F748-G748</f>
        <v>32500</v>
      </c>
      <c r="I748" s="11" t="n">
        <f aca="false">'Tax Tables'!$B$22*(MAX(H748,0)-IF(Calculator!$B$10="Yes",MIN(MAX(H748,0),'Tax Tables'!$B$27)*'Tax Tables'!$B$28+MIN(MAX(MAX(H748,0)-'Tax Tables'!$B$27,0),'Tax Tables'!$B$29)*'Tax Tables'!$B$30,MIN(MAX(H748,0),'Tax Tables'!$B$23)*'Tax Tables'!$B$24+MIN(MAX(MAX(H748,0)-'Tax Tables'!$B$23,0),'Tax Tables'!$B$25)*'Tax Tables'!$B$26))*1-MIN('Tax Tables'!$B$22*(MAX(H748,0)-IF(Calculator!$B$10="Yes",MIN(MAX(H748,0),'Tax Tables'!$B$27)*'Tax Tables'!$B$28+MIN(MAX(MAX(H748,0)-'Tax Tables'!$B$27,0),'Tax Tables'!$B$29)*'Tax Tables'!$B$30,MIN(MAX(H748,0),'Tax Tables'!$B$23)*'Tax Tables'!$B$24+MIN(MAX(MAX(H748,0)-'Tax Tables'!$B$23,0),'Tax Tables'!$B$25)*'Tax Tables'!$B$26))*Calculator!$B$11,Calculator!$B$12)</f>
        <v>2337.5</v>
      </c>
      <c r="J748" s="11" t="n">
        <f aca="false">MAX(H748,0)-I748</f>
        <v>30162.5</v>
      </c>
      <c r="K748" s="11" t="n">
        <f aca="false">MIN(IF(A748&gt;0,Calculator!$B$13,0)+E748+Calculator!$B$14,'Tax Tables'!$B$36)</f>
        <v>1000</v>
      </c>
      <c r="L748" s="11" t="n">
        <f aca="false">MAX(A748-K748,0)</f>
        <v>366500</v>
      </c>
      <c r="M748" s="11" t="n">
        <f aca="false">SUMPRODUCT((L748&gt;'Tax Tables'!$A$5:$A$17)*(L748-'Tax Tables'!$A$5:$A$17)*'Tax Tables'!$C$5:$C$17)</f>
        <v>54780</v>
      </c>
      <c r="N748" s="11" t="n">
        <f aca="false">IF(H748&lt;0,-1E+099,A748-E748-M748+J748+(E748+F748)*Calculator!$B$9)</f>
        <v>342882.5</v>
      </c>
      <c r="O748" s="2"/>
      <c r="P748" s="11" t="n">
        <f aca="false">735*$B$3</f>
        <v>367500</v>
      </c>
      <c r="Q748" s="11" t="n">
        <f aca="false">MIN(P748,'Tax Tables'!$B$31*'Tax Tables'!$B$32)</f>
        <v>96000</v>
      </c>
      <c r="R748" s="11" t="n">
        <f aca="false">P748-Q748</f>
        <v>271500</v>
      </c>
      <c r="S748" s="11" t="n">
        <f aca="false">IF(Calculator!$B$6="Yes",MIN(Q748,'Tax Tables'!$B$31*'Tax Tables'!$B$32),0)</f>
        <v>96000</v>
      </c>
      <c r="T748" s="11" t="n">
        <f aca="false">S748*Calculator!$B$7</f>
        <v>19200</v>
      </c>
      <c r="U748" s="11" t="n">
        <f aca="false">S748*Calculator!$B$8</f>
        <v>16320</v>
      </c>
      <c r="V748" s="11" t="n">
        <f aca="false">IF(Q748&gt;0,'Tax Tables'!$B$32*MIN(MAX(Q748/'Tax Tables'!$B$32*'Tax Tables'!$B$33,'Tax Tables'!$B$34),'Tax Tables'!$B$35),0)</f>
        <v>135</v>
      </c>
      <c r="W748" s="11" t="n">
        <f aca="false">Calculator!$B$5-P748-U748-V748</f>
        <v>16045</v>
      </c>
      <c r="X748" s="11" t="n">
        <f aca="false">'Tax Tables'!$B$22*(MAX(W748,0)-IF(Calculator!$B$10="Yes",MIN(MAX(W748,0),'Tax Tables'!$B$27)*'Tax Tables'!$B$28+MIN(MAX(MAX(W748,0)-'Tax Tables'!$B$27,0),'Tax Tables'!$B$29)*'Tax Tables'!$B$30,MIN(MAX(W748,0),'Tax Tables'!$B$23)*'Tax Tables'!$B$24+MIN(MAX(MAX(W748,0)-'Tax Tables'!$B$23,0),'Tax Tables'!$B$25)*'Tax Tables'!$B$26))*1-MIN('Tax Tables'!$B$22*(MAX(W748,0)-IF(Calculator!$B$10="Yes",MIN(MAX(W748,0),'Tax Tables'!$B$27)*'Tax Tables'!$B$28+MIN(MAX(MAX(W748,0)-'Tax Tables'!$B$27,0),'Tax Tables'!$B$29)*'Tax Tables'!$B$30,MIN(MAX(W748,0),'Tax Tables'!$B$23)*'Tax Tables'!$B$24+MIN(MAX(MAX(W748,0)-'Tax Tables'!$B$23,0),'Tax Tables'!$B$25)*'Tax Tables'!$B$26))*Calculator!$B$11,Calculator!$B$12)</f>
        <v>938.825</v>
      </c>
      <c r="Y748" s="11" t="n">
        <f aca="false">MAX(W748,0)-X748</f>
        <v>15106.175</v>
      </c>
      <c r="Z748" s="11" t="n">
        <f aca="false">MIN(IF(P748&gt;0,Calculator!$B$13,0)+T748+Calculator!$B$14,'Tax Tables'!$B$36)</f>
        <v>20200</v>
      </c>
      <c r="AA748" s="11" t="n">
        <f aca="false">MAX(P748-Z748,0)</f>
        <v>347300</v>
      </c>
      <c r="AB748" s="11" t="n">
        <f aca="false">SUMPRODUCT((AA748&gt;'Tax Tables'!$A$5:$A$17)*(AA748-'Tax Tables'!$A$5:$A$17)*'Tax Tables'!$C$5:$C$17)</f>
        <v>50556</v>
      </c>
      <c r="AC748" s="11" t="n">
        <f aca="false">IF(W748&lt;0,-1E+099,P748-T748-AB748+Y748+(T748+U748)*Calculator!$B$9)</f>
        <v>348370.175</v>
      </c>
    </row>
    <row r="749" customFormat="false" ht="15" hidden="false" customHeight="false" outlineLevel="0" collapsed="false">
      <c r="A749" s="11" t="n">
        <f aca="false">736*$B$3</f>
        <v>368000</v>
      </c>
      <c r="B749" s="11" t="n">
        <f aca="false">0</f>
        <v>0</v>
      </c>
      <c r="C749" s="11" t="n">
        <f aca="false">A749-B749</f>
        <v>368000</v>
      </c>
      <c r="D749" s="11" t="n">
        <f aca="false">IF(Calculator!$B$6="Yes",MIN(B749,'Tax Tables'!$B$31*'Tax Tables'!$B$32),0)</f>
        <v>0</v>
      </c>
      <c r="E749" s="11" t="n">
        <f aca="false">D749*Calculator!$B$7</f>
        <v>0</v>
      </c>
      <c r="F749" s="11" t="n">
        <f aca="false">D749*Calculator!$B$8</f>
        <v>0</v>
      </c>
      <c r="G749" s="11" t="n">
        <f aca="false">IF(B749&gt;0,'Tax Tables'!$B$32*MIN(MAX(B749/'Tax Tables'!$B$32*'Tax Tables'!$B$33,'Tax Tables'!$B$34),'Tax Tables'!$B$35),0)</f>
        <v>0</v>
      </c>
      <c r="H749" s="11" t="n">
        <f aca="false">Calculator!$B$5-A749-F749-G749</f>
        <v>32000</v>
      </c>
      <c r="I749" s="11" t="n">
        <f aca="false">'Tax Tables'!$B$22*(MAX(H749,0)-IF(Calculator!$B$10="Yes",MIN(MAX(H749,0),'Tax Tables'!$B$27)*'Tax Tables'!$B$28+MIN(MAX(MAX(H749,0)-'Tax Tables'!$B$27,0),'Tax Tables'!$B$29)*'Tax Tables'!$B$30,MIN(MAX(H749,0),'Tax Tables'!$B$23)*'Tax Tables'!$B$24+MIN(MAX(MAX(H749,0)-'Tax Tables'!$B$23,0),'Tax Tables'!$B$25)*'Tax Tables'!$B$26))*1-MIN('Tax Tables'!$B$22*(MAX(H749,0)-IF(Calculator!$B$10="Yes",MIN(MAX(H749,0),'Tax Tables'!$B$27)*'Tax Tables'!$B$28+MIN(MAX(MAX(H749,0)-'Tax Tables'!$B$27,0),'Tax Tables'!$B$29)*'Tax Tables'!$B$30,MIN(MAX(H749,0),'Tax Tables'!$B$23)*'Tax Tables'!$B$24+MIN(MAX(MAX(H749,0)-'Tax Tables'!$B$23,0),'Tax Tables'!$B$25)*'Tax Tables'!$B$26))*Calculator!$B$11,Calculator!$B$12)</f>
        <v>2295</v>
      </c>
      <c r="J749" s="11" t="n">
        <f aca="false">MAX(H749,0)-I749</f>
        <v>29705</v>
      </c>
      <c r="K749" s="11" t="n">
        <f aca="false">MIN(IF(A749&gt;0,Calculator!$B$13,0)+E749+Calculator!$B$14,'Tax Tables'!$B$36)</f>
        <v>1000</v>
      </c>
      <c r="L749" s="11" t="n">
        <f aca="false">MAX(A749-K749,0)</f>
        <v>367000</v>
      </c>
      <c r="M749" s="11" t="n">
        <f aca="false">SUMPRODUCT((L749&gt;'Tax Tables'!$A$5:$A$17)*(L749-'Tax Tables'!$A$5:$A$17)*'Tax Tables'!$C$5:$C$17)</f>
        <v>54890</v>
      </c>
      <c r="N749" s="11" t="n">
        <f aca="false">IF(H749&lt;0,-1E+099,A749-E749-M749+J749+(E749+F749)*Calculator!$B$9)</f>
        <v>342815</v>
      </c>
      <c r="O749" s="2"/>
      <c r="P749" s="11" t="n">
        <f aca="false">736*$B$3</f>
        <v>368000</v>
      </c>
      <c r="Q749" s="11" t="n">
        <f aca="false">MIN(P749,'Tax Tables'!$B$31*'Tax Tables'!$B$32)</f>
        <v>96000</v>
      </c>
      <c r="R749" s="11" t="n">
        <f aca="false">P749-Q749</f>
        <v>272000</v>
      </c>
      <c r="S749" s="11" t="n">
        <f aca="false">IF(Calculator!$B$6="Yes",MIN(Q749,'Tax Tables'!$B$31*'Tax Tables'!$B$32),0)</f>
        <v>96000</v>
      </c>
      <c r="T749" s="11" t="n">
        <f aca="false">S749*Calculator!$B$7</f>
        <v>19200</v>
      </c>
      <c r="U749" s="11" t="n">
        <f aca="false">S749*Calculator!$B$8</f>
        <v>16320</v>
      </c>
      <c r="V749" s="11" t="n">
        <f aca="false">IF(Q749&gt;0,'Tax Tables'!$B$32*MIN(MAX(Q749/'Tax Tables'!$B$32*'Tax Tables'!$B$33,'Tax Tables'!$B$34),'Tax Tables'!$B$35),0)</f>
        <v>135</v>
      </c>
      <c r="W749" s="11" t="n">
        <f aca="false">Calculator!$B$5-P749-U749-V749</f>
        <v>15545</v>
      </c>
      <c r="X749" s="11" t="n">
        <f aca="false">'Tax Tables'!$B$22*(MAX(W749,0)-IF(Calculator!$B$10="Yes",MIN(MAX(W749,0),'Tax Tables'!$B$27)*'Tax Tables'!$B$28+MIN(MAX(MAX(W749,0)-'Tax Tables'!$B$27,0),'Tax Tables'!$B$29)*'Tax Tables'!$B$30,MIN(MAX(W749,0),'Tax Tables'!$B$23)*'Tax Tables'!$B$24+MIN(MAX(MAX(W749,0)-'Tax Tables'!$B$23,0),'Tax Tables'!$B$25)*'Tax Tables'!$B$26))*1-MIN('Tax Tables'!$B$22*(MAX(W749,0)-IF(Calculator!$B$10="Yes",MIN(MAX(W749,0),'Tax Tables'!$B$27)*'Tax Tables'!$B$28+MIN(MAX(MAX(W749,0)-'Tax Tables'!$B$27,0),'Tax Tables'!$B$29)*'Tax Tables'!$B$30,MIN(MAX(W749,0),'Tax Tables'!$B$23)*'Tax Tables'!$B$24+MIN(MAX(MAX(W749,0)-'Tax Tables'!$B$23,0),'Tax Tables'!$B$25)*'Tax Tables'!$B$26))*Calculator!$B$11,Calculator!$B$12)</f>
        <v>896.325</v>
      </c>
      <c r="Y749" s="11" t="n">
        <f aca="false">MAX(W749,0)-X749</f>
        <v>14648.675</v>
      </c>
      <c r="Z749" s="11" t="n">
        <f aca="false">MIN(IF(P749&gt;0,Calculator!$B$13,0)+T749+Calculator!$B$14,'Tax Tables'!$B$36)</f>
        <v>20200</v>
      </c>
      <c r="AA749" s="11" t="n">
        <f aca="false">MAX(P749-Z749,0)</f>
        <v>347800</v>
      </c>
      <c r="AB749" s="11" t="n">
        <f aca="false">SUMPRODUCT((AA749&gt;'Tax Tables'!$A$5:$A$17)*(AA749-'Tax Tables'!$A$5:$A$17)*'Tax Tables'!$C$5:$C$17)</f>
        <v>50666</v>
      </c>
      <c r="AC749" s="11" t="n">
        <f aca="false">IF(W749&lt;0,-1E+099,P749-T749-AB749+Y749+(T749+U749)*Calculator!$B$9)</f>
        <v>348302.675</v>
      </c>
    </row>
    <row r="750" customFormat="false" ht="15" hidden="false" customHeight="false" outlineLevel="0" collapsed="false">
      <c r="A750" s="11" t="n">
        <f aca="false">737*$B$3</f>
        <v>368500</v>
      </c>
      <c r="B750" s="11" t="n">
        <f aca="false">0</f>
        <v>0</v>
      </c>
      <c r="C750" s="11" t="n">
        <f aca="false">A750-B750</f>
        <v>368500</v>
      </c>
      <c r="D750" s="11" t="n">
        <f aca="false">IF(Calculator!$B$6="Yes",MIN(B750,'Tax Tables'!$B$31*'Tax Tables'!$B$32),0)</f>
        <v>0</v>
      </c>
      <c r="E750" s="11" t="n">
        <f aca="false">D750*Calculator!$B$7</f>
        <v>0</v>
      </c>
      <c r="F750" s="11" t="n">
        <f aca="false">D750*Calculator!$B$8</f>
        <v>0</v>
      </c>
      <c r="G750" s="11" t="n">
        <f aca="false">IF(B750&gt;0,'Tax Tables'!$B$32*MIN(MAX(B750/'Tax Tables'!$B$32*'Tax Tables'!$B$33,'Tax Tables'!$B$34),'Tax Tables'!$B$35),0)</f>
        <v>0</v>
      </c>
      <c r="H750" s="11" t="n">
        <f aca="false">Calculator!$B$5-A750-F750-G750</f>
        <v>31500</v>
      </c>
      <c r="I750" s="11" t="n">
        <f aca="false">'Tax Tables'!$B$22*(MAX(H750,0)-IF(Calculator!$B$10="Yes",MIN(MAX(H750,0),'Tax Tables'!$B$27)*'Tax Tables'!$B$28+MIN(MAX(MAX(H750,0)-'Tax Tables'!$B$27,0),'Tax Tables'!$B$29)*'Tax Tables'!$B$30,MIN(MAX(H750,0),'Tax Tables'!$B$23)*'Tax Tables'!$B$24+MIN(MAX(MAX(H750,0)-'Tax Tables'!$B$23,0),'Tax Tables'!$B$25)*'Tax Tables'!$B$26))*1-MIN('Tax Tables'!$B$22*(MAX(H750,0)-IF(Calculator!$B$10="Yes",MIN(MAX(H750,0),'Tax Tables'!$B$27)*'Tax Tables'!$B$28+MIN(MAX(MAX(H750,0)-'Tax Tables'!$B$27,0),'Tax Tables'!$B$29)*'Tax Tables'!$B$30,MIN(MAX(H750,0),'Tax Tables'!$B$23)*'Tax Tables'!$B$24+MIN(MAX(MAX(H750,0)-'Tax Tables'!$B$23,0),'Tax Tables'!$B$25)*'Tax Tables'!$B$26))*Calculator!$B$11,Calculator!$B$12)</f>
        <v>2252.5</v>
      </c>
      <c r="J750" s="11" t="n">
        <f aca="false">MAX(H750,0)-I750</f>
        <v>29247.5</v>
      </c>
      <c r="K750" s="11" t="n">
        <f aca="false">MIN(IF(A750&gt;0,Calculator!$B$13,0)+E750+Calculator!$B$14,'Tax Tables'!$B$36)</f>
        <v>1000</v>
      </c>
      <c r="L750" s="11" t="n">
        <f aca="false">MAX(A750-K750,0)</f>
        <v>367500</v>
      </c>
      <c r="M750" s="11" t="n">
        <f aca="false">SUMPRODUCT((L750&gt;'Tax Tables'!$A$5:$A$17)*(L750-'Tax Tables'!$A$5:$A$17)*'Tax Tables'!$C$5:$C$17)</f>
        <v>55000</v>
      </c>
      <c r="N750" s="11" t="n">
        <f aca="false">IF(H750&lt;0,-1E+099,A750-E750-M750+J750+(E750+F750)*Calculator!$B$9)</f>
        <v>342747.5</v>
      </c>
      <c r="O750" s="2"/>
      <c r="P750" s="11" t="n">
        <f aca="false">737*$B$3</f>
        <v>368500</v>
      </c>
      <c r="Q750" s="11" t="n">
        <f aca="false">MIN(P750,'Tax Tables'!$B$31*'Tax Tables'!$B$32)</f>
        <v>96000</v>
      </c>
      <c r="R750" s="11" t="n">
        <f aca="false">P750-Q750</f>
        <v>272500</v>
      </c>
      <c r="S750" s="11" t="n">
        <f aca="false">IF(Calculator!$B$6="Yes",MIN(Q750,'Tax Tables'!$B$31*'Tax Tables'!$B$32),0)</f>
        <v>96000</v>
      </c>
      <c r="T750" s="11" t="n">
        <f aca="false">S750*Calculator!$B$7</f>
        <v>19200</v>
      </c>
      <c r="U750" s="11" t="n">
        <f aca="false">S750*Calculator!$B$8</f>
        <v>16320</v>
      </c>
      <c r="V750" s="11" t="n">
        <f aca="false">IF(Q750&gt;0,'Tax Tables'!$B$32*MIN(MAX(Q750/'Tax Tables'!$B$32*'Tax Tables'!$B$33,'Tax Tables'!$B$34),'Tax Tables'!$B$35),0)</f>
        <v>135</v>
      </c>
      <c r="W750" s="11" t="n">
        <f aca="false">Calculator!$B$5-P750-U750-V750</f>
        <v>15045</v>
      </c>
      <c r="X750" s="11" t="n">
        <f aca="false">'Tax Tables'!$B$22*(MAX(W750,0)-IF(Calculator!$B$10="Yes",MIN(MAX(W750,0),'Tax Tables'!$B$27)*'Tax Tables'!$B$28+MIN(MAX(MAX(W750,0)-'Tax Tables'!$B$27,0),'Tax Tables'!$B$29)*'Tax Tables'!$B$30,MIN(MAX(W750,0),'Tax Tables'!$B$23)*'Tax Tables'!$B$24+MIN(MAX(MAX(W750,0)-'Tax Tables'!$B$23,0),'Tax Tables'!$B$25)*'Tax Tables'!$B$26))*1-MIN('Tax Tables'!$B$22*(MAX(W750,0)-IF(Calculator!$B$10="Yes",MIN(MAX(W750,0),'Tax Tables'!$B$27)*'Tax Tables'!$B$28+MIN(MAX(MAX(W750,0)-'Tax Tables'!$B$27,0),'Tax Tables'!$B$29)*'Tax Tables'!$B$30,MIN(MAX(W750,0),'Tax Tables'!$B$23)*'Tax Tables'!$B$24+MIN(MAX(MAX(W750,0)-'Tax Tables'!$B$23,0),'Tax Tables'!$B$25)*'Tax Tables'!$B$26))*Calculator!$B$11,Calculator!$B$12)</f>
        <v>853.825</v>
      </c>
      <c r="Y750" s="11" t="n">
        <f aca="false">MAX(W750,0)-X750</f>
        <v>14191.175</v>
      </c>
      <c r="Z750" s="11" t="n">
        <f aca="false">MIN(IF(P750&gt;0,Calculator!$B$13,0)+T750+Calculator!$B$14,'Tax Tables'!$B$36)</f>
        <v>20200</v>
      </c>
      <c r="AA750" s="11" t="n">
        <f aca="false">MAX(P750-Z750,0)</f>
        <v>348300</v>
      </c>
      <c r="AB750" s="11" t="n">
        <f aca="false">SUMPRODUCT((AA750&gt;'Tax Tables'!$A$5:$A$17)*(AA750-'Tax Tables'!$A$5:$A$17)*'Tax Tables'!$C$5:$C$17)</f>
        <v>50776</v>
      </c>
      <c r="AC750" s="11" t="n">
        <f aca="false">IF(W750&lt;0,-1E+099,P750-T750-AB750+Y750+(T750+U750)*Calculator!$B$9)</f>
        <v>348235.175</v>
      </c>
    </row>
    <row r="751" customFormat="false" ht="15" hidden="false" customHeight="false" outlineLevel="0" collapsed="false">
      <c r="A751" s="11" t="n">
        <f aca="false">738*$B$3</f>
        <v>369000</v>
      </c>
      <c r="B751" s="11" t="n">
        <f aca="false">0</f>
        <v>0</v>
      </c>
      <c r="C751" s="11" t="n">
        <f aca="false">A751-B751</f>
        <v>369000</v>
      </c>
      <c r="D751" s="11" t="n">
        <f aca="false">IF(Calculator!$B$6="Yes",MIN(B751,'Tax Tables'!$B$31*'Tax Tables'!$B$32),0)</f>
        <v>0</v>
      </c>
      <c r="E751" s="11" t="n">
        <f aca="false">D751*Calculator!$B$7</f>
        <v>0</v>
      </c>
      <c r="F751" s="11" t="n">
        <f aca="false">D751*Calculator!$B$8</f>
        <v>0</v>
      </c>
      <c r="G751" s="11" t="n">
        <f aca="false">IF(B751&gt;0,'Tax Tables'!$B$32*MIN(MAX(B751/'Tax Tables'!$B$32*'Tax Tables'!$B$33,'Tax Tables'!$B$34),'Tax Tables'!$B$35),0)</f>
        <v>0</v>
      </c>
      <c r="H751" s="11" t="n">
        <f aca="false">Calculator!$B$5-A751-F751-G751</f>
        <v>31000</v>
      </c>
      <c r="I751" s="11" t="n">
        <f aca="false">'Tax Tables'!$B$22*(MAX(H751,0)-IF(Calculator!$B$10="Yes",MIN(MAX(H751,0),'Tax Tables'!$B$27)*'Tax Tables'!$B$28+MIN(MAX(MAX(H751,0)-'Tax Tables'!$B$27,0),'Tax Tables'!$B$29)*'Tax Tables'!$B$30,MIN(MAX(H751,0),'Tax Tables'!$B$23)*'Tax Tables'!$B$24+MIN(MAX(MAX(H751,0)-'Tax Tables'!$B$23,0),'Tax Tables'!$B$25)*'Tax Tables'!$B$26))*1-MIN('Tax Tables'!$B$22*(MAX(H751,0)-IF(Calculator!$B$10="Yes",MIN(MAX(H751,0),'Tax Tables'!$B$27)*'Tax Tables'!$B$28+MIN(MAX(MAX(H751,0)-'Tax Tables'!$B$27,0),'Tax Tables'!$B$29)*'Tax Tables'!$B$30,MIN(MAX(H751,0),'Tax Tables'!$B$23)*'Tax Tables'!$B$24+MIN(MAX(MAX(H751,0)-'Tax Tables'!$B$23,0),'Tax Tables'!$B$25)*'Tax Tables'!$B$26))*Calculator!$B$11,Calculator!$B$12)</f>
        <v>2210</v>
      </c>
      <c r="J751" s="11" t="n">
        <f aca="false">MAX(H751,0)-I751</f>
        <v>28790</v>
      </c>
      <c r="K751" s="11" t="n">
        <f aca="false">MIN(IF(A751&gt;0,Calculator!$B$13,0)+E751+Calculator!$B$14,'Tax Tables'!$B$36)</f>
        <v>1000</v>
      </c>
      <c r="L751" s="11" t="n">
        <f aca="false">MAX(A751-K751,0)</f>
        <v>368000</v>
      </c>
      <c r="M751" s="11" t="n">
        <f aca="false">SUMPRODUCT((L751&gt;'Tax Tables'!$A$5:$A$17)*(L751-'Tax Tables'!$A$5:$A$17)*'Tax Tables'!$C$5:$C$17)</f>
        <v>55110</v>
      </c>
      <c r="N751" s="11" t="n">
        <f aca="false">IF(H751&lt;0,-1E+099,A751-E751-M751+J751+(E751+F751)*Calculator!$B$9)</f>
        <v>342680</v>
      </c>
      <c r="O751" s="2"/>
      <c r="P751" s="11" t="n">
        <f aca="false">738*$B$3</f>
        <v>369000</v>
      </c>
      <c r="Q751" s="11" t="n">
        <f aca="false">MIN(P751,'Tax Tables'!$B$31*'Tax Tables'!$B$32)</f>
        <v>96000</v>
      </c>
      <c r="R751" s="11" t="n">
        <f aca="false">P751-Q751</f>
        <v>273000</v>
      </c>
      <c r="S751" s="11" t="n">
        <f aca="false">IF(Calculator!$B$6="Yes",MIN(Q751,'Tax Tables'!$B$31*'Tax Tables'!$B$32),0)</f>
        <v>96000</v>
      </c>
      <c r="T751" s="11" t="n">
        <f aca="false">S751*Calculator!$B$7</f>
        <v>19200</v>
      </c>
      <c r="U751" s="11" t="n">
        <f aca="false">S751*Calculator!$B$8</f>
        <v>16320</v>
      </c>
      <c r="V751" s="11" t="n">
        <f aca="false">IF(Q751&gt;0,'Tax Tables'!$B$32*MIN(MAX(Q751/'Tax Tables'!$B$32*'Tax Tables'!$B$33,'Tax Tables'!$B$34),'Tax Tables'!$B$35),0)</f>
        <v>135</v>
      </c>
      <c r="W751" s="11" t="n">
        <f aca="false">Calculator!$B$5-P751-U751-V751</f>
        <v>14545</v>
      </c>
      <c r="X751" s="11" t="n">
        <f aca="false">'Tax Tables'!$B$22*(MAX(W751,0)-IF(Calculator!$B$10="Yes",MIN(MAX(W751,0),'Tax Tables'!$B$27)*'Tax Tables'!$B$28+MIN(MAX(MAX(W751,0)-'Tax Tables'!$B$27,0),'Tax Tables'!$B$29)*'Tax Tables'!$B$30,MIN(MAX(W751,0),'Tax Tables'!$B$23)*'Tax Tables'!$B$24+MIN(MAX(MAX(W751,0)-'Tax Tables'!$B$23,0),'Tax Tables'!$B$25)*'Tax Tables'!$B$26))*1-MIN('Tax Tables'!$B$22*(MAX(W751,0)-IF(Calculator!$B$10="Yes",MIN(MAX(W751,0),'Tax Tables'!$B$27)*'Tax Tables'!$B$28+MIN(MAX(MAX(W751,0)-'Tax Tables'!$B$27,0),'Tax Tables'!$B$29)*'Tax Tables'!$B$30,MIN(MAX(W751,0),'Tax Tables'!$B$23)*'Tax Tables'!$B$24+MIN(MAX(MAX(W751,0)-'Tax Tables'!$B$23,0),'Tax Tables'!$B$25)*'Tax Tables'!$B$26))*Calculator!$B$11,Calculator!$B$12)</f>
        <v>811.325</v>
      </c>
      <c r="Y751" s="11" t="n">
        <f aca="false">MAX(W751,0)-X751</f>
        <v>13733.675</v>
      </c>
      <c r="Z751" s="11" t="n">
        <f aca="false">MIN(IF(P751&gt;0,Calculator!$B$13,0)+T751+Calculator!$B$14,'Tax Tables'!$B$36)</f>
        <v>20200</v>
      </c>
      <c r="AA751" s="11" t="n">
        <f aca="false">MAX(P751-Z751,0)</f>
        <v>348800</v>
      </c>
      <c r="AB751" s="11" t="n">
        <f aca="false">SUMPRODUCT((AA751&gt;'Tax Tables'!$A$5:$A$17)*(AA751-'Tax Tables'!$A$5:$A$17)*'Tax Tables'!$C$5:$C$17)</f>
        <v>50886</v>
      </c>
      <c r="AC751" s="11" t="n">
        <f aca="false">IF(W751&lt;0,-1E+099,P751-T751-AB751+Y751+(T751+U751)*Calculator!$B$9)</f>
        <v>348167.675</v>
      </c>
    </row>
    <row r="752" customFormat="false" ht="15" hidden="false" customHeight="false" outlineLevel="0" collapsed="false">
      <c r="A752" s="11" t="n">
        <f aca="false">739*$B$3</f>
        <v>369500</v>
      </c>
      <c r="B752" s="11" t="n">
        <f aca="false">0</f>
        <v>0</v>
      </c>
      <c r="C752" s="11" t="n">
        <f aca="false">A752-B752</f>
        <v>369500</v>
      </c>
      <c r="D752" s="11" t="n">
        <f aca="false">IF(Calculator!$B$6="Yes",MIN(B752,'Tax Tables'!$B$31*'Tax Tables'!$B$32),0)</f>
        <v>0</v>
      </c>
      <c r="E752" s="11" t="n">
        <f aca="false">D752*Calculator!$B$7</f>
        <v>0</v>
      </c>
      <c r="F752" s="11" t="n">
        <f aca="false">D752*Calculator!$B$8</f>
        <v>0</v>
      </c>
      <c r="G752" s="11" t="n">
        <f aca="false">IF(B752&gt;0,'Tax Tables'!$B$32*MIN(MAX(B752/'Tax Tables'!$B$32*'Tax Tables'!$B$33,'Tax Tables'!$B$34),'Tax Tables'!$B$35),0)</f>
        <v>0</v>
      </c>
      <c r="H752" s="11" t="n">
        <f aca="false">Calculator!$B$5-A752-F752-G752</f>
        <v>30500</v>
      </c>
      <c r="I752" s="11" t="n">
        <f aca="false">'Tax Tables'!$B$22*(MAX(H752,0)-IF(Calculator!$B$10="Yes",MIN(MAX(H752,0),'Tax Tables'!$B$27)*'Tax Tables'!$B$28+MIN(MAX(MAX(H752,0)-'Tax Tables'!$B$27,0),'Tax Tables'!$B$29)*'Tax Tables'!$B$30,MIN(MAX(H752,0),'Tax Tables'!$B$23)*'Tax Tables'!$B$24+MIN(MAX(MAX(H752,0)-'Tax Tables'!$B$23,0),'Tax Tables'!$B$25)*'Tax Tables'!$B$26))*1-MIN('Tax Tables'!$B$22*(MAX(H752,0)-IF(Calculator!$B$10="Yes",MIN(MAX(H752,0),'Tax Tables'!$B$27)*'Tax Tables'!$B$28+MIN(MAX(MAX(H752,0)-'Tax Tables'!$B$27,0),'Tax Tables'!$B$29)*'Tax Tables'!$B$30,MIN(MAX(H752,0),'Tax Tables'!$B$23)*'Tax Tables'!$B$24+MIN(MAX(MAX(H752,0)-'Tax Tables'!$B$23,0),'Tax Tables'!$B$25)*'Tax Tables'!$B$26))*Calculator!$B$11,Calculator!$B$12)</f>
        <v>2167.5</v>
      </c>
      <c r="J752" s="11" t="n">
        <f aca="false">MAX(H752,0)-I752</f>
        <v>28332.5</v>
      </c>
      <c r="K752" s="11" t="n">
        <f aca="false">MIN(IF(A752&gt;0,Calculator!$B$13,0)+E752+Calculator!$B$14,'Tax Tables'!$B$36)</f>
        <v>1000</v>
      </c>
      <c r="L752" s="11" t="n">
        <f aca="false">MAX(A752-K752,0)</f>
        <v>368500</v>
      </c>
      <c r="M752" s="11" t="n">
        <f aca="false">SUMPRODUCT((L752&gt;'Tax Tables'!$A$5:$A$17)*(L752-'Tax Tables'!$A$5:$A$17)*'Tax Tables'!$C$5:$C$17)</f>
        <v>55220</v>
      </c>
      <c r="N752" s="11" t="n">
        <f aca="false">IF(H752&lt;0,-1E+099,A752-E752-M752+J752+(E752+F752)*Calculator!$B$9)</f>
        <v>342612.5</v>
      </c>
      <c r="O752" s="2"/>
      <c r="P752" s="11" t="n">
        <f aca="false">739*$B$3</f>
        <v>369500</v>
      </c>
      <c r="Q752" s="11" t="n">
        <f aca="false">MIN(P752,'Tax Tables'!$B$31*'Tax Tables'!$B$32)</f>
        <v>96000</v>
      </c>
      <c r="R752" s="11" t="n">
        <f aca="false">P752-Q752</f>
        <v>273500</v>
      </c>
      <c r="S752" s="11" t="n">
        <f aca="false">IF(Calculator!$B$6="Yes",MIN(Q752,'Tax Tables'!$B$31*'Tax Tables'!$B$32),0)</f>
        <v>96000</v>
      </c>
      <c r="T752" s="11" t="n">
        <f aca="false">S752*Calculator!$B$7</f>
        <v>19200</v>
      </c>
      <c r="U752" s="11" t="n">
        <f aca="false">S752*Calculator!$B$8</f>
        <v>16320</v>
      </c>
      <c r="V752" s="11" t="n">
        <f aca="false">IF(Q752&gt;0,'Tax Tables'!$B$32*MIN(MAX(Q752/'Tax Tables'!$B$32*'Tax Tables'!$B$33,'Tax Tables'!$B$34),'Tax Tables'!$B$35),0)</f>
        <v>135</v>
      </c>
      <c r="W752" s="11" t="n">
        <f aca="false">Calculator!$B$5-P752-U752-V752</f>
        <v>14045</v>
      </c>
      <c r="X752" s="11" t="n">
        <f aca="false">'Tax Tables'!$B$22*(MAX(W752,0)-IF(Calculator!$B$10="Yes",MIN(MAX(W752,0),'Tax Tables'!$B$27)*'Tax Tables'!$B$28+MIN(MAX(MAX(W752,0)-'Tax Tables'!$B$27,0),'Tax Tables'!$B$29)*'Tax Tables'!$B$30,MIN(MAX(W752,0),'Tax Tables'!$B$23)*'Tax Tables'!$B$24+MIN(MAX(MAX(W752,0)-'Tax Tables'!$B$23,0),'Tax Tables'!$B$25)*'Tax Tables'!$B$26))*1-MIN('Tax Tables'!$B$22*(MAX(W752,0)-IF(Calculator!$B$10="Yes",MIN(MAX(W752,0),'Tax Tables'!$B$27)*'Tax Tables'!$B$28+MIN(MAX(MAX(W752,0)-'Tax Tables'!$B$27,0),'Tax Tables'!$B$29)*'Tax Tables'!$B$30,MIN(MAX(W752,0),'Tax Tables'!$B$23)*'Tax Tables'!$B$24+MIN(MAX(MAX(W752,0)-'Tax Tables'!$B$23,0),'Tax Tables'!$B$25)*'Tax Tables'!$B$26))*Calculator!$B$11,Calculator!$B$12)</f>
        <v>768.825</v>
      </c>
      <c r="Y752" s="11" t="n">
        <f aca="false">MAX(W752,0)-X752</f>
        <v>13276.175</v>
      </c>
      <c r="Z752" s="11" t="n">
        <f aca="false">MIN(IF(P752&gt;0,Calculator!$B$13,0)+T752+Calculator!$B$14,'Tax Tables'!$B$36)</f>
        <v>20200</v>
      </c>
      <c r="AA752" s="11" t="n">
        <f aca="false">MAX(P752-Z752,0)</f>
        <v>349300</v>
      </c>
      <c r="AB752" s="11" t="n">
        <f aca="false">SUMPRODUCT((AA752&gt;'Tax Tables'!$A$5:$A$17)*(AA752-'Tax Tables'!$A$5:$A$17)*'Tax Tables'!$C$5:$C$17)</f>
        <v>50996</v>
      </c>
      <c r="AC752" s="11" t="n">
        <f aca="false">IF(W752&lt;0,-1E+099,P752-T752-AB752+Y752+(T752+U752)*Calculator!$B$9)</f>
        <v>348100.175</v>
      </c>
    </row>
    <row r="753" customFormat="false" ht="15" hidden="false" customHeight="false" outlineLevel="0" collapsed="false">
      <c r="A753" s="11" t="n">
        <f aca="false">740*$B$3</f>
        <v>370000</v>
      </c>
      <c r="B753" s="11" t="n">
        <f aca="false">0</f>
        <v>0</v>
      </c>
      <c r="C753" s="11" t="n">
        <f aca="false">A753-B753</f>
        <v>370000</v>
      </c>
      <c r="D753" s="11" t="n">
        <f aca="false">IF(Calculator!$B$6="Yes",MIN(B753,'Tax Tables'!$B$31*'Tax Tables'!$B$32),0)</f>
        <v>0</v>
      </c>
      <c r="E753" s="11" t="n">
        <f aca="false">D753*Calculator!$B$7</f>
        <v>0</v>
      </c>
      <c r="F753" s="11" t="n">
        <f aca="false">D753*Calculator!$B$8</f>
        <v>0</v>
      </c>
      <c r="G753" s="11" t="n">
        <f aca="false">IF(B753&gt;0,'Tax Tables'!$B$32*MIN(MAX(B753/'Tax Tables'!$B$32*'Tax Tables'!$B$33,'Tax Tables'!$B$34),'Tax Tables'!$B$35),0)</f>
        <v>0</v>
      </c>
      <c r="H753" s="11" t="n">
        <f aca="false">Calculator!$B$5-A753-F753-G753</f>
        <v>30000</v>
      </c>
      <c r="I753" s="11" t="n">
        <f aca="false">'Tax Tables'!$B$22*(MAX(H753,0)-IF(Calculator!$B$10="Yes",MIN(MAX(H753,0),'Tax Tables'!$B$27)*'Tax Tables'!$B$28+MIN(MAX(MAX(H753,0)-'Tax Tables'!$B$27,0),'Tax Tables'!$B$29)*'Tax Tables'!$B$30,MIN(MAX(H753,0),'Tax Tables'!$B$23)*'Tax Tables'!$B$24+MIN(MAX(MAX(H753,0)-'Tax Tables'!$B$23,0),'Tax Tables'!$B$25)*'Tax Tables'!$B$26))*1-MIN('Tax Tables'!$B$22*(MAX(H753,0)-IF(Calculator!$B$10="Yes",MIN(MAX(H753,0),'Tax Tables'!$B$27)*'Tax Tables'!$B$28+MIN(MAX(MAX(H753,0)-'Tax Tables'!$B$27,0),'Tax Tables'!$B$29)*'Tax Tables'!$B$30,MIN(MAX(H753,0),'Tax Tables'!$B$23)*'Tax Tables'!$B$24+MIN(MAX(MAX(H753,0)-'Tax Tables'!$B$23,0),'Tax Tables'!$B$25)*'Tax Tables'!$B$26))*Calculator!$B$11,Calculator!$B$12)</f>
        <v>2125</v>
      </c>
      <c r="J753" s="11" t="n">
        <f aca="false">MAX(H753,0)-I753</f>
        <v>27875</v>
      </c>
      <c r="K753" s="11" t="n">
        <f aca="false">MIN(IF(A753&gt;0,Calculator!$B$13,0)+E753+Calculator!$B$14,'Tax Tables'!$B$36)</f>
        <v>1000</v>
      </c>
      <c r="L753" s="11" t="n">
        <f aca="false">MAX(A753-K753,0)</f>
        <v>369000</v>
      </c>
      <c r="M753" s="11" t="n">
        <f aca="false">SUMPRODUCT((L753&gt;'Tax Tables'!$A$5:$A$17)*(L753-'Tax Tables'!$A$5:$A$17)*'Tax Tables'!$C$5:$C$17)</f>
        <v>55330</v>
      </c>
      <c r="N753" s="11" t="n">
        <f aca="false">IF(H753&lt;0,-1E+099,A753-E753-M753+J753+(E753+F753)*Calculator!$B$9)</f>
        <v>342545</v>
      </c>
      <c r="O753" s="2"/>
      <c r="P753" s="11" t="n">
        <f aca="false">740*$B$3</f>
        <v>370000</v>
      </c>
      <c r="Q753" s="11" t="n">
        <f aca="false">MIN(P753,'Tax Tables'!$B$31*'Tax Tables'!$B$32)</f>
        <v>96000</v>
      </c>
      <c r="R753" s="11" t="n">
        <f aca="false">P753-Q753</f>
        <v>274000</v>
      </c>
      <c r="S753" s="11" t="n">
        <f aca="false">IF(Calculator!$B$6="Yes",MIN(Q753,'Tax Tables'!$B$31*'Tax Tables'!$B$32),0)</f>
        <v>96000</v>
      </c>
      <c r="T753" s="11" t="n">
        <f aca="false">S753*Calculator!$B$7</f>
        <v>19200</v>
      </c>
      <c r="U753" s="11" t="n">
        <f aca="false">S753*Calculator!$B$8</f>
        <v>16320</v>
      </c>
      <c r="V753" s="11" t="n">
        <f aca="false">IF(Q753&gt;0,'Tax Tables'!$B$32*MIN(MAX(Q753/'Tax Tables'!$B$32*'Tax Tables'!$B$33,'Tax Tables'!$B$34),'Tax Tables'!$B$35),0)</f>
        <v>135</v>
      </c>
      <c r="W753" s="11" t="n">
        <f aca="false">Calculator!$B$5-P753-U753-V753</f>
        <v>13545</v>
      </c>
      <c r="X753" s="11" t="n">
        <f aca="false">'Tax Tables'!$B$22*(MAX(W753,0)-IF(Calculator!$B$10="Yes",MIN(MAX(W753,0),'Tax Tables'!$B$27)*'Tax Tables'!$B$28+MIN(MAX(MAX(W753,0)-'Tax Tables'!$B$27,0),'Tax Tables'!$B$29)*'Tax Tables'!$B$30,MIN(MAX(W753,0),'Tax Tables'!$B$23)*'Tax Tables'!$B$24+MIN(MAX(MAX(W753,0)-'Tax Tables'!$B$23,0),'Tax Tables'!$B$25)*'Tax Tables'!$B$26))*1-MIN('Tax Tables'!$B$22*(MAX(W753,0)-IF(Calculator!$B$10="Yes",MIN(MAX(W753,0),'Tax Tables'!$B$27)*'Tax Tables'!$B$28+MIN(MAX(MAX(W753,0)-'Tax Tables'!$B$27,0),'Tax Tables'!$B$29)*'Tax Tables'!$B$30,MIN(MAX(W753,0),'Tax Tables'!$B$23)*'Tax Tables'!$B$24+MIN(MAX(MAX(W753,0)-'Tax Tables'!$B$23,0),'Tax Tables'!$B$25)*'Tax Tables'!$B$26))*Calculator!$B$11,Calculator!$B$12)</f>
        <v>726.325</v>
      </c>
      <c r="Y753" s="11" t="n">
        <f aca="false">MAX(W753,0)-X753</f>
        <v>12818.675</v>
      </c>
      <c r="Z753" s="11" t="n">
        <f aca="false">MIN(IF(P753&gt;0,Calculator!$B$13,0)+T753+Calculator!$B$14,'Tax Tables'!$B$36)</f>
        <v>20200</v>
      </c>
      <c r="AA753" s="11" t="n">
        <f aca="false">MAX(P753-Z753,0)</f>
        <v>349800</v>
      </c>
      <c r="AB753" s="11" t="n">
        <f aca="false">SUMPRODUCT((AA753&gt;'Tax Tables'!$A$5:$A$17)*(AA753-'Tax Tables'!$A$5:$A$17)*'Tax Tables'!$C$5:$C$17)</f>
        <v>51106</v>
      </c>
      <c r="AC753" s="11" t="n">
        <f aca="false">IF(W753&lt;0,-1E+099,P753-T753-AB753+Y753+(T753+U753)*Calculator!$B$9)</f>
        <v>348032.675</v>
      </c>
    </row>
    <row r="754" customFormat="false" ht="15" hidden="false" customHeight="false" outlineLevel="0" collapsed="false">
      <c r="A754" s="11" t="n">
        <f aca="false">741*$B$3</f>
        <v>370500</v>
      </c>
      <c r="B754" s="11" t="n">
        <f aca="false">0</f>
        <v>0</v>
      </c>
      <c r="C754" s="11" t="n">
        <f aca="false">A754-B754</f>
        <v>370500</v>
      </c>
      <c r="D754" s="11" t="n">
        <f aca="false">IF(Calculator!$B$6="Yes",MIN(B754,'Tax Tables'!$B$31*'Tax Tables'!$B$32),0)</f>
        <v>0</v>
      </c>
      <c r="E754" s="11" t="n">
        <f aca="false">D754*Calculator!$B$7</f>
        <v>0</v>
      </c>
      <c r="F754" s="11" t="n">
        <f aca="false">D754*Calculator!$B$8</f>
        <v>0</v>
      </c>
      <c r="G754" s="11" t="n">
        <f aca="false">IF(B754&gt;0,'Tax Tables'!$B$32*MIN(MAX(B754/'Tax Tables'!$B$32*'Tax Tables'!$B$33,'Tax Tables'!$B$34),'Tax Tables'!$B$35),0)</f>
        <v>0</v>
      </c>
      <c r="H754" s="11" t="n">
        <f aca="false">Calculator!$B$5-A754-F754-G754</f>
        <v>29500</v>
      </c>
      <c r="I754" s="11" t="n">
        <f aca="false">'Tax Tables'!$B$22*(MAX(H754,0)-IF(Calculator!$B$10="Yes",MIN(MAX(H754,0),'Tax Tables'!$B$27)*'Tax Tables'!$B$28+MIN(MAX(MAX(H754,0)-'Tax Tables'!$B$27,0),'Tax Tables'!$B$29)*'Tax Tables'!$B$30,MIN(MAX(H754,0),'Tax Tables'!$B$23)*'Tax Tables'!$B$24+MIN(MAX(MAX(H754,0)-'Tax Tables'!$B$23,0),'Tax Tables'!$B$25)*'Tax Tables'!$B$26))*1-MIN('Tax Tables'!$B$22*(MAX(H754,0)-IF(Calculator!$B$10="Yes",MIN(MAX(H754,0),'Tax Tables'!$B$27)*'Tax Tables'!$B$28+MIN(MAX(MAX(H754,0)-'Tax Tables'!$B$27,0),'Tax Tables'!$B$29)*'Tax Tables'!$B$30,MIN(MAX(H754,0),'Tax Tables'!$B$23)*'Tax Tables'!$B$24+MIN(MAX(MAX(H754,0)-'Tax Tables'!$B$23,0),'Tax Tables'!$B$25)*'Tax Tables'!$B$26))*Calculator!$B$11,Calculator!$B$12)</f>
        <v>2082.5</v>
      </c>
      <c r="J754" s="11" t="n">
        <f aca="false">MAX(H754,0)-I754</f>
        <v>27417.5</v>
      </c>
      <c r="K754" s="11" t="n">
        <f aca="false">MIN(IF(A754&gt;0,Calculator!$B$13,0)+E754+Calculator!$B$14,'Tax Tables'!$B$36)</f>
        <v>1000</v>
      </c>
      <c r="L754" s="11" t="n">
        <f aca="false">MAX(A754-K754,0)</f>
        <v>369500</v>
      </c>
      <c r="M754" s="11" t="n">
        <f aca="false">SUMPRODUCT((L754&gt;'Tax Tables'!$A$5:$A$17)*(L754-'Tax Tables'!$A$5:$A$17)*'Tax Tables'!$C$5:$C$17)</f>
        <v>55440</v>
      </c>
      <c r="N754" s="11" t="n">
        <f aca="false">IF(H754&lt;0,-1E+099,A754-E754-M754+J754+(E754+F754)*Calculator!$B$9)</f>
        <v>342477.5</v>
      </c>
      <c r="O754" s="2"/>
      <c r="P754" s="11" t="n">
        <f aca="false">741*$B$3</f>
        <v>370500</v>
      </c>
      <c r="Q754" s="11" t="n">
        <f aca="false">MIN(P754,'Tax Tables'!$B$31*'Tax Tables'!$B$32)</f>
        <v>96000</v>
      </c>
      <c r="R754" s="11" t="n">
        <f aca="false">P754-Q754</f>
        <v>274500</v>
      </c>
      <c r="S754" s="11" t="n">
        <f aca="false">IF(Calculator!$B$6="Yes",MIN(Q754,'Tax Tables'!$B$31*'Tax Tables'!$B$32),0)</f>
        <v>96000</v>
      </c>
      <c r="T754" s="11" t="n">
        <f aca="false">S754*Calculator!$B$7</f>
        <v>19200</v>
      </c>
      <c r="U754" s="11" t="n">
        <f aca="false">S754*Calculator!$B$8</f>
        <v>16320</v>
      </c>
      <c r="V754" s="11" t="n">
        <f aca="false">IF(Q754&gt;0,'Tax Tables'!$B$32*MIN(MAX(Q754/'Tax Tables'!$B$32*'Tax Tables'!$B$33,'Tax Tables'!$B$34),'Tax Tables'!$B$35),0)</f>
        <v>135</v>
      </c>
      <c r="W754" s="11" t="n">
        <f aca="false">Calculator!$B$5-P754-U754-V754</f>
        <v>13045</v>
      </c>
      <c r="X754" s="11" t="n">
        <f aca="false">'Tax Tables'!$B$22*(MAX(W754,0)-IF(Calculator!$B$10="Yes",MIN(MAX(W754,0),'Tax Tables'!$B$27)*'Tax Tables'!$B$28+MIN(MAX(MAX(W754,0)-'Tax Tables'!$B$27,0),'Tax Tables'!$B$29)*'Tax Tables'!$B$30,MIN(MAX(W754,0),'Tax Tables'!$B$23)*'Tax Tables'!$B$24+MIN(MAX(MAX(W754,0)-'Tax Tables'!$B$23,0),'Tax Tables'!$B$25)*'Tax Tables'!$B$26))*1-MIN('Tax Tables'!$B$22*(MAX(W754,0)-IF(Calculator!$B$10="Yes",MIN(MAX(W754,0),'Tax Tables'!$B$27)*'Tax Tables'!$B$28+MIN(MAX(MAX(W754,0)-'Tax Tables'!$B$27,0),'Tax Tables'!$B$29)*'Tax Tables'!$B$30,MIN(MAX(W754,0),'Tax Tables'!$B$23)*'Tax Tables'!$B$24+MIN(MAX(MAX(W754,0)-'Tax Tables'!$B$23,0),'Tax Tables'!$B$25)*'Tax Tables'!$B$26))*Calculator!$B$11,Calculator!$B$12)</f>
        <v>683.825</v>
      </c>
      <c r="Y754" s="11" t="n">
        <f aca="false">MAX(W754,0)-X754</f>
        <v>12361.175</v>
      </c>
      <c r="Z754" s="11" t="n">
        <f aca="false">MIN(IF(P754&gt;0,Calculator!$B$13,0)+T754+Calculator!$B$14,'Tax Tables'!$B$36)</f>
        <v>20200</v>
      </c>
      <c r="AA754" s="11" t="n">
        <f aca="false">MAX(P754-Z754,0)</f>
        <v>350300</v>
      </c>
      <c r="AB754" s="11" t="n">
        <f aca="false">SUMPRODUCT((AA754&gt;'Tax Tables'!$A$5:$A$17)*(AA754-'Tax Tables'!$A$5:$A$17)*'Tax Tables'!$C$5:$C$17)</f>
        <v>51216</v>
      </c>
      <c r="AC754" s="11" t="n">
        <f aca="false">IF(W754&lt;0,-1E+099,P754-T754-AB754+Y754+(T754+U754)*Calculator!$B$9)</f>
        <v>347965.175</v>
      </c>
    </row>
    <row r="755" customFormat="false" ht="15" hidden="false" customHeight="false" outlineLevel="0" collapsed="false">
      <c r="A755" s="11" t="n">
        <f aca="false">742*$B$3</f>
        <v>371000</v>
      </c>
      <c r="B755" s="11" t="n">
        <f aca="false">0</f>
        <v>0</v>
      </c>
      <c r="C755" s="11" t="n">
        <f aca="false">A755-B755</f>
        <v>371000</v>
      </c>
      <c r="D755" s="11" t="n">
        <f aca="false">IF(Calculator!$B$6="Yes",MIN(B755,'Tax Tables'!$B$31*'Tax Tables'!$B$32),0)</f>
        <v>0</v>
      </c>
      <c r="E755" s="11" t="n">
        <f aca="false">D755*Calculator!$B$7</f>
        <v>0</v>
      </c>
      <c r="F755" s="11" t="n">
        <f aca="false">D755*Calculator!$B$8</f>
        <v>0</v>
      </c>
      <c r="G755" s="11" t="n">
        <f aca="false">IF(B755&gt;0,'Tax Tables'!$B$32*MIN(MAX(B755/'Tax Tables'!$B$32*'Tax Tables'!$B$33,'Tax Tables'!$B$34),'Tax Tables'!$B$35),0)</f>
        <v>0</v>
      </c>
      <c r="H755" s="11" t="n">
        <f aca="false">Calculator!$B$5-A755-F755-G755</f>
        <v>29000</v>
      </c>
      <c r="I755" s="11" t="n">
        <f aca="false">'Tax Tables'!$B$22*(MAX(H755,0)-IF(Calculator!$B$10="Yes",MIN(MAX(H755,0),'Tax Tables'!$B$27)*'Tax Tables'!$B$28+MIN(MAX(MAX(H755,0)-'Tax Tables'!$B$27,0),'Tax Tables'!$B$29)*'Tax Tables'!$B$30,MIN(MAX(H755,0),'Tax Tables'!$B$23)*'Tax Tables'!$B$24+MIN(MAX(MAX(H755,0)-'Tax Tables'!$B$23,0),'Tax Tables'!$B$25)*'Tax Tables'!$B$26))*1-MIN('Tax Tables'!$B$22*(MAX(H755,0)-IF(Calculator!$B$10="Yes",MIN(MAX(H755,0),'Tax Tables'!$B$27)*'Tax Tables'!$B$28+MIN(MAX(MAX(H755,0)-'Tax Tables'!$B$27,0),'Tax Tables'!$B$29)*'Tax Tables'!$B$30,MIN(MAX(H755,0),'Tax Tables'!$B$23)*'Tax Tables'!$B$24+MIN(MAX(MAX(H755,0)-'Tax Tables'!$B$23,0),'Tax Tables'!$B$25)*'Tax Tables'!$B$26))*Calculator!$B$11,Calculator!$B$12)</f>
        <v>2040</v>
      </c>
      <c r="J755" s="11" t="n">
        <f aca="false">MAX(H755,0)-I755</f>
        <v>26960</v>
      </c>
      <c r="K755" s="11" t="n">
        <f aca="false">MIN(IF(A755&gt;0,Calculator!$B$13,0)+E755+Calculator!$B$14,'Tax Tables'!$B$36)</f>
        <v>1000</v>
      </c>
      <c r="L755" s="11" t="n">
        <f aca="false">MAX(A755-K755,0)</f>
        <v>370000</v>
      </c>
      <c r="M755" s="11" t="n">
        <f aca="false">SUMPRODUCT((L755&gt;'Tax Tables'!$A$5:$A$17)*(L755-'Tax Tables'!$A$5:$A$17)*'Tax Tables'!$C$5:$C$17)</f>
        <v>55550</v>
      </c>
      <c r="N755" s="11" t="n">
        <f aca="false">IF(H755&lt;0,-1E+099,A755-E755-M755+J755+(E755+F755)*Calculator!$B$9)</f>
        <v>342410</v>
      </c>
      <c r="O755" s="2"/>
      <c r="P755" s="11" t="n">
        <f aca="false">742*$B$3</f>
        <v>371000</v>
      </c>
      <c r="Q755" s="11" t="n">
        <f aca="false">MIN(P755,'Tax Tables'!$B$31*'Tax Tables'!$B$32)</f>
        <v>96000</v>
      </c>
      <c r="R755" s="11" t="n">
        <f aca="false">P755-Q755</f>
        <v>275000</v>
      </c>
      <c r="S755" s="11" t="n">
        <f aca="false">IF(Calculator!$B$6="Yes",MIN(Q755,'Tax Tables'!$B$31*'Tax Tables'!$B$32),0)</f>
        <v>96000</v>
      </c>
      <c r="T755" s="11" t="n">
        <f aca="false">S755*Calculator!$B$7</f>
        <v>19200</v>
      </c>
      <c r="U755" s="11" t="n">
        <f aca="false">S755*Calculator!$B$8</f>
        <v>16320</v>
      </c>
      <c r="V755" s="11" t="n">
        <f aca="false">IF(Q755&gt;0,'Tax Tables'!$B$32*MIN(MAX(Q755/'Tax Tables'!$B$32*'Tax Tables'!$B$33,'Tax Tables'!$B$34),'Tax Tables'!$B$35),0)</f>
        <v>135</v>
      </c>
      <c r="W755" s="11" t="n">
        <f aca="false">Calculator!$B$5-P755-U755-V755</f>
        <v>12545</v>
      </c>
      <c r="X755" s="11" t="n">
        <f aca="false">'Tax Tables'!$B$22*(MAX(W755,0)-IF(Calculator!$B$10="Yes",MIN(MAX(W755,0),'Tax Tables'!$B$27)*'Tax Tables'!$B$28+MIN(MAX(MAX(W755,0)-'Tax Tables'!$B$27,0),'Tax Tables'!$B$29)*'Tax Tables'!$B$30,MIN(MAX(W755,0),'Tax Tables'!$B$23)*'Tax Tables'!$B$24+MIN(MAX(MAX(W755,0)-'Tax Tables'!$B$23,0),'Tax Tables'!$B$25)*'Tax Tables'!$B$26))*1-MIN('Tax Tables'!$B$22*(MAX(W755,0)-IF(Calculator!$B$10="Yes",MIN(MAX(W755,0),'Tax Tables'!$B$27)*'Tax Tables'!$B$28+MIN(MAX(MAX(W755,0)-'Tax Tables'!$B$27,0),'Tax Tables'!$B$29)*'Tax Tables'!$B$30,MIN(MAX(W755,0),'Tax Tables'!$B$23)*'Tax Tables'!$B$24+MIN(MAX(MAX(W755,0)-'Tax Tables'!$B$23,0),'Tax Tables'!$B$25)*'Tax Tables'!$B$26))*Calculator!$B$11,Calculator!$B$12)</f>
        <v>641.325</v>
      </c>
      <c r="Y755" s="11" t="n">
        <f aca="false">MAX(W755,0)-X755</f>
        <v>11903.675</v>
      </c>
      <c r="Z755" s="11" t="n">
        <f aca="false">MIN(IF(P755&gt;0,Calculator!$B$13,0)+T755+Calculator!$B$14,'Tax Tables'!$B$36)</f>
        <v>20200</v>
      </c>
      <c r="AA755" s="11" t="n">
        <f aca="false">MAX(P755-Z755,0)</f>
        <v>350800</v>
      </c>
      <c r="AB755" s="11" t="n">
        <f aca="false">SUMPRODUCT((AA755&gt;'Tax Tables'!$A$5:$A$17)*(AA755-'Tax Tables'!$A$5:$A$17)*'Tax Tables'!$C$5:$C$17)</f>
        <v>51326</v>
      </c>
      <c r="AC755" s="11" t="n">
        <f aca="false">IF(W755&lt;0,-1E+099,P755-T755-AB755+Y755+(T755+U755)*Calculator!$B$9)</f>
        <v>347897.675</v>
      </c>
    </row>
    <row r="756" customFormat="false" ht="15" hidden="false" customHeight="false" outlineLevel="0" collapsed="false">
      <c r="A756" s="11" t="n">
        <f aca="false">743*$B$3</f>
        <v>371500</v>
      </c>
      <c r="B756" s="11" t="n">
        <f aca="false">0</f>
        <v>0</v>
      </c>
      <c r="C756" s="11" t="n">
        <f aca="false">A756-B756</f>
        <v>371500</v>
      </c>
      <c r="D756" s="11" t="n">
        <f aca="false">IF(Calculator!$B$6="Yes",MIN(B756,'Tax Tables'!$B$31*'Tax Tables'!$B$32),0)</f>
        <v>0</v>
      </c>
      <c r="E756" s="11" t="n">
        <f aca="false">D756*Calculator!$B$7</f>
        <v>0</v>
      </c>
      <c r="F756" s="11" t="n">
        <f aca="false">D756*Calculator!$B$8</f>
        <v>0</v>
      </c>
      <c r="G756" s="11" t="n">
        <f aca="false">IF(B756&gt;0,'Tax Tables'!$B$32*MIN(MAX(B756/'Tax Tables'!$B$32*'Tax Tables'!$B$33,'Tax Tables'!$B$34),'Tax Tables'!$B$35),0)</f>
        <v>0</v>
      </c>
      <c r="H756" s="11" t="n">
        <f aca="false">Calculator!$B$5-A756-F756-G756</f>
        <v>28500</v>
      </c>
      <c r="I756" s="11" t="n">
        <f aca="false">'Tax Tables'!$B$22*(MAX(H756,0)-IF(Calculator!$B$10="Yes",MIN(MAX(H756,0),'Tax Tables'!$B$27)*'Tax Tables'!$B$28+MIN(MAX(MAX(H756,0)-'Tax Tables'!$B$27,0),'Tax Tables'!$B$29)*'Tax Tables'!$B$30,MIN(MAX(H756,0),'Tax Tables'!$B$23)*'Tax Tables'!$B$24+MIN(MAX(MAX(H756,0)-'Tax Tables'!$B$23,0),'Tax Tables'!$B$25)*'Tax Tables'!$B$26))*1-MIN('Tax Tables'!$B$22*(MAX(H756,0)-IF(Calculator!$B$10="Yes",MIN(MAX(H756,0),'Tax Tables'!$B$27)*'Tax Tables'!$B$28+MIN(MAX(MAX(H756,0)-'Tax Tables'!$B$27,0),'Tax Tables'!$B$29)*'Tax Tables'!$B$30,MIN(MAX(H756,0),'Tax Tables'!$B$23)*'Tax Tables'!$B$24+MIN(MAX(MAX(H756,0)-'Tax Tables'!$B$23,0),'Tax Tables'!$B$25)*'Tax Tables'!$B$26))*Calculator!$B$11,Calculator!$B$12)</f>
        <v>1997.5</v>
      </c>
      <c r="J756" s="11" t="n">
        <f aca="false">MAX(H756,0)-I756</f>
        <v>26502.5</v>
      </c>
      <c r="K756" s="11" t="n">
        <f aca="false">MIN(IF(A756&gt;0,Calculator!$B$13,0)+E756+Calculator!$B$14,'Tax Tables'!$B$36)</f>
        <v>1000</v>
      </c>
      <c r="L756" s="11" t="n">
        <f aca="false">MAX(A756-K756,0)</f>
        <v>370500</v>
      </c>
      <c r="M756" s="11" t="n">
        <f aca="false">SUMPRODUCT((L756&gt;'Tax Tables'!$A$5:$A$17)*(L756-'Tax Tables'!$A$5:$A$17)*'Tax Tables'!$C$5:$C$17)</f>
        <v>55660</v>
      </c>
      <c r="N756" s="11" t="n">
        <f aca="false">IF(H756&lt;0,-1E+099,A756-E756-M756+J756+(E756+F756)*Calculator!$B$9)</f>
        <v>342342.5</v>
      </c>
      <c r="O756" s="2"/>
      <c r="P756" s="11" t="n">
        <f aca="false">743*$B$3</f>
        <v>371500</v>
      </c>
      <c r="Q756" s="11" t="n">
        <f aca="false">MIN(P756,'Tax Tables'!$B$31*'Tax Tables'!$B$32)</f>
        <v>96000</v>
      </c>
      <c r="R756" s="11" t="n">
        <f aca="false">P756-Q756</f>
        <v>275500</v>
      </c>
      <c r="S756" s="11" t="n">
        <f aca="false">IF(Calculator!$B$6="Yes",MIN(Q756,'Tax Tables'!$B$31*'Tax Tables'!$B$32),0)</f>
        <v>96000</v>
      </c>
      <c r="T756" s="11" t="n">
        <f aca="false">S756*Calculator!$B$7</f>
        <v>19200</v>
      </c>
      <c r="U756" s="11" t="n">
        <f aca="false">S756*Calculator!$B$8</f>
        <v>16320</v>
      </c>
      <c r="V756" s="11" t="n">
        <f aca="false">IF(Q756&gt;0,'Tax Tables'!$B$32*MIN(MAX(Q756/'Tax Tables'!$B$32*'Tax Tables'!$B$33,'Tax Tables'!$B$34),'Tax Tables'!$B$35),0)</f>
        <v>135</v>
      </c>
      <c r="W756" s="11" t="n">
        <f aca="false">Calculator!$B$5-P756-U756-V756</f>
        <v>12045</v>
      </c>
      <c r="X756" s="11" t="n">
        <f aca="false">'Tax Tables'!$B$22*(MAX(W756,0)-IF(Calculator!$B$10="Yes",MIN(MAX(W756,0),'Tax Tables'!$B$27)*'Tax Tables'!$B$28+MIN(MAX(MAX(W756,0)-'Tax Tables'!$B$27,0),'Tax Tables'!$B$29)*'Tax Tables'!$B$30,MIN(MAX(W756,0),'Tax Tables'!$B$23)*'Tax Tables'!$B$24+MIN(MAX(MAX(W756,0)-'Tax Tables'!$B$23,0),'Tax Tables'!$B$25)*'Tax Tables'!$B$26))*1-MIN('Tax Tables'!$B$22*(MAX(W756,0)-IF(Calculator!$B$10="Yes",MIN(MAX(W756,0),'Tax Tables'!$B$27)*'Tax Tables'!$B$28+MIN(MAX(MAX(W756,0)-'Tax Tables'!$B$27,0),'Tax Tables'!$B$29)*'Tax Tables'!$B$30,MIN(MAX(W756,0),'Tax Tables'!$B$23)*'Tax Tables'!$B$24+MIN(MAX(MAX(W756,0)-'Tax Tables'!$B$23,0),'Tax Tables'!$B$25)*'Tax Tables'!$B$26))*Calculator!$B$11,Calculator!$B$12)</f>
        <v>598.825</v>
      </c>
      <c r="Y756" s="11" t="n">
        <f aca="false">MAX(W756,0)-X756</f>
        <v>11446.175</v>
      </c>
      <c r="Z756" s="11" t="n">
        <f aca="false">MIN(IF(P756&gt;0,Calculator!$B$13,0)+T756+Calculator!$B$14,'Tax Tables'!$B$36)</f>
        <v>20200</v>
      </c>
      <c r="AA756" s="11" t="n">
        <f aca="false">MAX(P756-Z756,0)</f>
        <v>351300</v>
      </c>
      <c r="AB756" s="11" t="n">
        <f aca="false">SUMPRODUCT((AA756&gt;'Tax Tables'!$A$5:$A$17)*(AA756-'Tax Tables'!$A$5:$A$17)*'Tax Tables'!$C$5:$C$17)</f>
        <v>51436</v>
      </c>
      <c r="AC756" s="11" t="n">
        <f aca="false">IF(W756&lt;0,-1E+099,P756-T756-AB756+Y756+(T756+U756)*Calculator!$B$9)</f>
        <v>347830.175</v>
      </c>
    </row>
    <row r="757" customFormat="false" ht="15" hidden="false" customHeight="false" outlineLevel="0" collapsed="false">
      <c r="A757" s="11" t="n">
        <f aca="false">744*$B$3</f>
        <v>372000</v>
      </c>
      <c r="B757" s="11" t="n">
        <f aca="false">0</f>
        <v>0</v>
      </c>
      <c r="C757" s="11" t="n">
        <f aca="false">A757-B757</f>
        <v>372000</v>
      </c>
      <c r="D757" s="11" t="n">
        <f aca="false">IF(Calculator!$B$6="Yes",MIN(B757,'Tax Tables'!$B$31*'Tax Tables'!$B$32),0)</f>
        <v>0</v>
      </c>
      <c r="E757" s="11" t="n">
        <f aca="false">D757*Calculator!$B$7</f>
        <v>0</v>
      </c>
      <c r="F757" s="11" t="n">
        <f aca="false">D757*Calculator!$B$8</f>
        <v>0</v>
      </c>
      <c r="G757" s="11" t="n">
        <f aca="false">IF(B757&gt;0,'Tax Tables'!$B$32*MIN(MAX(B757/'Tax Tables'!$B$32*'Tax Tables'!$B$33,'Tax Tables'!$B$34),'Tax Tables'!$B$35),0)</f>
        <v>0</v>
      </c>
      <c r="H757" s="11" t="n">
        <f aca="false">Calculator!$B$5-A757-F757-G757</f>
        <v>28000</v>
      </c>
      <c r="I757" s="11" t="n">
        <f aca="false">'Tax Tables'!$B$22*(MAX(H757,0)-IF(Calculator!$B$10="Yes",MIN(MAX(H757,0),'Tax Tables'!$B$27)*'Tax Tables'!$B$28+MIN(MAX(MAX(H757,0)-'Tax Tables'!$B$27,0),'Tax Tables'!$B$29)*'Tax Tables'!$B$30,MIN(MAX(H757,0),'Tax Tables'!$B$23)*'Tax Tables'!$B$24+MIN(MAX(MAX(H757,0)-'Tax Tables'!$B$23,0),'Tax Tables'!$B$25)*'Tax Tables'!$B$26))*1-MIN('Tax Tables'!$B$22*(MAX(H757,0)-IF(Calculator!$B$10="Yes",MIN(MAX(H757,0),'Tax Tables'!$B$27)*'Tax Tables'!$B$28+MIN(MAX(MAX(H757,0)-'Tax Tables'!$B$27,0),'Tax Tables'!$B$29)*'Tax Tables'!$B$30,MIN(MAX(H757,0),'Tax Tables'!$B$23)*'Tax Tables'!$B$24+MIN(MAX(MAX(H757,0)-'Tax Tables'!$B$23,0),'Tax Tables'!$B$25)*'Tax Tables'!$B$26))*Calculator!$B$11,Calculator!$B$12)</f>
        <v>1955</v>
      </c>
      <c r="J757" s="11" t="n">
        <f aca="false">MAX(H757,0)-I757</f>
        <v>26045</v>
      </c>
      <c r="K757" s="11" t="n">
        <f aca="false">MIN(IF(A757&gt;0,Calculator!$B$13,0)+E757+Calculator!$B$14,'Tax Tables'!$B$36)</f>
        <v>1000</v>
      </c>
      <c r="L757" s="11" t="n">
        <f aca="false">MAX(A757-K757,0)</f>
        <v>371000</v>
      </c>
      <c r="M757" s="11" t="n">
        <f aca="false">SUMPRODUCT((L757&gt;'Tax Tables'!$A$5:$A$17)*(L757-'Tax Tables'!$A$5:$A$17)*'Tax Tables'!$C$5:$C$17)</f>
        <v>55770</v>
      </c>
      <c r="N757" s="11" t="n">
        <f aca="false">IF(H757&lt;0,-1E+099,A757-E757-M757+J757+(E757+F757)*Calculator!$B$9)</f>
        <v>342275</v>
      </c>
      <c r="O757" s="2"/>
      <c r="P757" s="11" t="n">
        <f aca="false">744*$B$3</f>
        <v>372000</v>
      </c>
      <c r="Q757" s="11" t="n">
        <f aca="false">MIN(P757,'Tax Tables'!$B$31*'Tax Tables'!$B$32)</f>
        <v>96000</v>
      </c>
      <c r="R757" s="11" t="n">
        <f aca="false">P757-Q757</f>
        <v>276000</v>
      </c>
      <c r="S757" s="11" t="n">
        <f aca="false">IF(Calculator!$B$6="Yes",MIN(Q757,'Tax Tables'!$B$31*'Tax Tables'!$B$32),0)</f>
        <v>96000</v>
      </c>
      <c r="T757" s="11" t="n">
        <f aca="false">S757*Calculator!$B$7</f>
        <v>19200</v>
      </c>
      <c r="U757" s="11" t="n">
        <f aca="false">S757*Calculator!$B$8</f>
        <v>16320</v>
      </c>
      <c r="V757" s="11" t="n">
        <f aca="false">IF(Q757&gt;0,'Tax Tables'!$B$32*MIN(MAX(Q757/'Tax Tables'!$B$32*'Tax Tables'!$B$33,'Tax Tables'!$B$34),'Tax Tables'!$B$35),0)</f>
        <v>135</v>
      </c>
      <c r="W757" s="11" t="n">
        <f aca="false">Calculator!$B$5-P757-U757-V757</f>
        <v>11545</v>
      </c>
      <c r="X757" s="11" t="n">
        <f aca="false">'Tax Tables'!$B$22*(MAX(W757,0)-IF(Calculator!$B$10="Yes",MIN(MAX(W757,0),'Tax Tables'!$B$27)*'Tax Tables'!$B$28+MIN(MAX(MAX(W757,0)-'Tax Tables'!$B$27,0),'Tax Tables'!$B$29)*'Tax Tables'!$B$30,MIN(MAX(W757,0),'Tax Tables'!$B$23)*'Tax Tables'!$B$24+MIN(MAX(MAX(W757,0)-'Tax Tables'!$B$23,0),'Tax Tables'!$B$25)*'Tax Tables'!$B$26))*1-MIN('Tax Tables'!$B$22*(MAX(W757,0)-IF(Calculator!$B$10="Yes",MIN(MAX(W757,0),'Tax Tables'!$B$27)*'Tax Tables'!$B$28+MIN(MAX(MAX(W757,0)-'Tax Tables'!$B$27,0),'Tax Tables'!$B$29)*'Tax Tables'!$B$30,MIN(MAX(W757,0),'Tax Tables'!$B$23)*'Tax Tables'!$B$24+MIN(MAX(MAX(W757,0)-'Tax Tables'!$B$23,0),'Tax Tables'!$B$25)*'Tax Tables'!$B$26))*Calculator!$B$11,Calculator!$B$12)</f>
        <v>556.325</v>
      </c>
      <c r="Y757" s="11" t="n">
        <f aca="false">MAX(W757,0)-X757</f>
        <v>10988.675</v>
      </c>
      <c r="Z757" s="11" t="n">
        <f aca="false">MIN(IF(P757&gt;0,Calculator!$B$13,0)+T757+Calculator!$B$14,'Tax Tables'!$B$36)</f>
        <v>20200</v>
      </c>
      <c r="AA757" s="11" t="n">
        <f aca="false">MAX(P757-Z757,0)</f>
        <v>351800</v>
      </c>
      <c r="AB757" s="11" t="n">
        <f aca="false">SUMPRODUCT((AA757&gt;'Tax Tables'!$A$5:$A$17)*(AA757-'Tax Tables'!$A$5:$A$17)*'Tax Tables'!$C$5:$C$17)</f>
        <v>51546</v>
      </c>
      <c r="AC757" s="11" t="n">
        <f aca="false">IF(W757&lt;0,-1E+099,P757-T757-AB757+Y757+(T757+U757)*Calculator!$B$9)</f>
        <v>347762.675</v>
      </c>
    </row>
    <row r="758" customFormat="false" ht="15" hidden="false" customHeight="false" outlineLevel="0" collapsed="false">
      <c r="A758" s="11" t="n">
        <f aca="false">745*$B$3</f>
        <v>372500</v>
      </c>
      <c r="B758" s="11" t="n">
        <f aca="false">0</f>
        <v>0</v>
      </c>
      <c r="C758" s="11" t="n">
        <f aca="false">A758-B758</f>
        <v>372500</v>
      </c>
      <c r="D758" s="11" t="n">
        <f aca="false">IF(Calculator!$B$6="Yes",MIN(B758,'Tax Tables'!$B$31*'Tax Tables'!$B$32),0)</f>
        <v>0</v>
      </c>
      <c r="E758" s="11" t="n">
        <f aca="false">D758*Calculator!$B$7</f>
        <v>0</v>
      </c>
      <c r="F758" s="11" t="n">
        <f aca="false">D758*Calculator!$B$8</f>
        <v>0</v>
      </c>
      <c r="G758" s="11" t="n">
        <f aca="false">IF(B758&gt;0,'Tax Tables'!$B$32*MIN(MAX(B758/'Tax Tables'!$B$32*'Tax Tables'!$B$33,'Tax Tables'!$B$34),'Tax Tables'!$B$35),0)</f>
        <v>0</v>
      </c>
      <c r="H758" s="11" t="n">
        <f aca="false">Calculator!$B$5-A758-F758-G758</f>
        <v>27500</v>
      </c>
      <c r="I758" s="11" t="n">
        <f aca="false">'Tax Tables'!$B$22*(MAX(H758,0)-IF(Calculator!$B$10="Yes",MIN(MAX(H758,0),'Tax Tables'!$B$27)*'Tax Tables'!$B$28+MIN(MAX(MAX(H758,0)-'Tax Tables'!$B$27,0),'Tax Tables'!$B$29)*'Tax Tables'!$B$30,MIN(MAX(H758,0),'Tax Tables'!$B$23)*'Tax Tables'!$B$24+MIN(MAX(MAX(H758,0)-'Tax Tables'!$B$23,0),'Tax Tables'!$B$25)*'Tax Tables'!$B$26))*1-MIN('Tax Tables'!$B$22*(MAX(H758,0)-IF(Calculator!$B$10="Yes",MIN(MAX(H758,0),'Tax Tables'!$B$27)*'Tax Tables'!$B$28+MIN(MAX(MAX(H758,0)-'Tax Tables'!$B$27,0),'Tax Tables'!$B$29)*'Tax Tables'!$B$30,MIN(MAX(H758,0),'Tax Tables'!$B$23)*'Tax Tables'!$B$24+MIN(MAX(MAX(H758,0)-'Tax Tables'!$B$23,0),'Tax Tables'!$B$25)*'Tax Tables'!$B$26))*Calculator!$B$11,Calculator!$B$12)</f>
        <v>1912.5</v>
      </c>
      <c r="J758" s="11" t="n">
        <f aca="false">MAX(H758,0)-I758</f>
        <v>25587.5</v>
      </c>
      <c r="K758" s="11" t="n">
        <f aca="false">MIN(IF(A758&gt;0,Calculator!$B$13,0)+E758+Calculator!$B$14,'Tax Tables'!$B$36)</f>
        <v>1000</v>
      </c>
      <c r="L758" s="11" t="n">
        <f aca="false">MAX(A758-K758,0)</f>
        <v>371500</v>
      </c>
      <c r="M758" s="11" t="n">
        <f aca="false">SUMPRODUCT((L758&gt;'Tax Tables'!$A$5:$A$17)*(L758-'Tax Tables'!$A$5:$A$17)*'Tax Tables'!$C$5:$C$17)</f>
        <v>55880</v>
      </c>
      <c r="N758" s="11" t="n">
        <f aca="false">IF(H758&lt;0,-1E+099,A758-E758-M758+J758+(E758+F758)*Calculator!$B$9)</f>
        <v>342207.5</v>
      </c>
      <c r="O758" s="2"/>
      <c r="P758" s="11" t="n">
        <f aca="false">745*$B$3</f>
        <v>372500</v>
      </c>
      <c r="Q758" s="11" t="n">
        <f aca="false">MIN(P758,'Tax Tables'!$B$31*'Tax Tables'!$B$32)</f>
        <v>96000</v>
      </c>
      <c r="R758" s="11" t="n">
        <f aca="false">P758-Q758</f>
        <v>276500</v>
      </c>
      <c r="S758" s="11" t="n">
        <f aca="false">IF(Calculator!$B$6="Yes",MIN(Q758,'Tax Tables'!$B$31*'Tax Tables'!$B$32),0)</f>
        <v>96000</v>
      </c>
      <c r="T758" s="11" t="n">
        <f aca="false">S758*Calculator!$B$7</f>
        <v>19200</v>
      </c>
      <c r="U758" s="11" t="n">
        <f aca="false">S758*Calculator!$B$8</f>
        <v>16320</v>
      </c>
      <c r="V758" s="11" t="n">
        <f aca="false">IF(Q758&gt;0,'Tax Tables'!$B$32*MIN(MAX(Q758/'Tax Tables'!$B$32*'Tax Tables'!$B$33,'Tax Tables'!$B$34),'Tax Tables'!$B$35),0)</f>
        <v>135</v>
      </c>
      <c r="W758" s="11" t="n">
        <f aca="false">Calculator!$B$5-P758-U758-V758</f>
        <v>11045</v>
      </c>
      <c r="X758" s="11" t="n">
        <f aca="false">'Tax Tables'!$B$22*(MAX(W758,0)-IF(Calculator!$B$10="Yes",MIN(MAX(W758,0),'Tax Tables'!$B$27)*'Tax Tables'!$B$28+MIN(MAX(MAX(W758,0)-'Tax Tables'!$B$27,0),'Tax Tables'!$B$29)*'Tax Tables'!$B$30,MIN(MAX(W758,0),'Tax Tables'!$B$23)*'Tax Tables'!$B$24+MIN(MAX(MAX(W758,0)-'Tax Tables'!$B$23,0),'Tax Tables'!$B$25)*'Tax Tables'!$B$26))*1-MIN('Tax Tables'!$B$22*(MAX(W758,0)-IF(Calculator!$B$10="Yes",MIN(MAX(W758,0),'Tax Tables'!$B$27)*'Tax Tables'!$B$28+MIN(MAX(MAX(W758,0)-'Tax Tables'!$B$27,0),'Tax Tables'!$B$29)*'Tax Tables'!$B$30,MIN(MAX(W758,0),'Tax Tables'!$B$23)*'Tax Tables'!$B$24+MIN(MAX(MAX(W758,0)-'Tax Tables'!$B$23,0),'Tax Tables'!$B$25)*'Tax Tables'!$B$26))*Calculator!$B$11,Calculator!$B$12)</f>
        <v>513.825</v>
      </c>
      <c r="Y758" s="11" t="n">
        <f aca="false">MAX(W758,0)-X758</f>
        <v>10531.175</v>
      </c>
      <c r="Z758" s="11" t="n">
        <f aca="false">MIN(IF(P758&gt;0,Calculator!$B$13,0)+T758+Calculator!$B$14,'Tax Tables'!$B$36)</f>
        <v>20200</v>
      </c>
      <c r="AA758" s="11" t="n">
        <f aca="false">MAX(P758-Z758,0)</f>
        <v>352300</v>
      </c>
      <c r="AB758" s="11" t="n">
        <f aca="false">SUMPRODUCT((AA758&gt;'Tax Tables'!$A$5:$A$17)*(AA758-'Tax Tables'!$A$5:$A$17)*'Tax Tables'!$C$5:$C$17)</f>
        <v>51656</v>
      </c>
      <c r="AC758" s="11" t="n">
        <f aca="false">IF(W758&lt;0,-1E+099,P758-T758-AB758+Y758+(T758+U758)*Calculator!$B$9)</f>
        <v>347695.175</v>
      </c>
    </row>
    <row r="759" customFormat="false" ht="15" hidden="false" customHeight="false" outlineLevel="0" collapsed="false">
      <c r="A759" s="11" t="n">
        <f aca="false">746*$B$3</f>
        <v>373000</v>
      </c>
      <c r="B759" s="11" t="n">
        <f aca="false">0</f>
        <v>0</v>
      </c>
      <c r="C759" s="11" t="n">
        <f aca="false">A759-B759</f>
        <v>373000</v>
      </c>
      <c r="D759" s="11" t="n">
        <f aca="false">IF(Calculator!$B$6="Yes",MIN(B759,'Tax Tables'!$B$31*'Tax Tables'!$B$32),0)</f>
        <v>0</v>
      </c>
      <c r="E759" s="11" t="n">
        <f aca="false">D759*Calculator!$B$7</f>
        <v>0</v>
      </c>
      <c r="F759" s="11" t="n">
        <f aca="false">D759*Calculator!$B$8</f>
        <v>0</v>
      </c>
      <c r="G759" s="11" t="n">
        <f aca="false">IF(B759&gt;0,'Tax Tables'!$B$32*MIN(MAX(B759/'Tax Tables'!$B$32*'Tax Tables'!$B$33,'Tax Tables'!$B$34),'Tax Tables'!$B$35),0)</f>
        <v>0</v>
      </c>
      <c r="H759" s="11" t="n">
        <f aca="false">Calculator!$B$5-A759-F759-G759</f>
        <v>27000</v>
      </c>
      <c r="I759" s="11" t="n">
        <f aca="false">'Tax Tables'!$B$22*(MAX(H759,0)-IF(Calculator!$B$10="Yes",MIN(MAX(H759,0),'Tax Tables'!$B$27)*'Tax Tables'!$B$28+MIN(MAX(MAX(H759,0)-'Tax Tables'!$B$27,0),'Tax Tables'!$B$29)*'Tax Tables'!$B$30,MIN(MAX(H759,0),'Tax Tables'!$B$23)*'Tax Tables'!$B$24+MIN(MAX(MAX(H759,0)-'Tax Tables'!$B$23,0),'Tax Tables'!$B$25)*'Tax Tables'!$B$26))*1-MIN('Tax Tables'!$B$22*(MAX(H759,0)-IF(Calculator!$B$10="Yes",MIN(MAX(H759,0),'Tax Tables'!$B$27)*'Tax Tables'!$B$28+MIN(MAX(MAX(H759,0)-'Tax Tables'!$B$27,0),'Tax Tables'!$B$29)*'Tax Tables'!$B$30,MIN(MAX(H759,0),'Tax Tables'!$B$23)*'Tax Tables'!$B$24+MIN(MAX(MAX(H759,0)-'Tax Tables'!$B$23,0),'Tax Tables'!$B$25)*'Tax Tables'!$B$26))*Calculator!$B$11,Calculator!$B$12)</f>
        <v>1870</v>
      </c>
      <c r="J759" s="11" t="n">
        <f aca="false">MAX(H759,0)-I759</f>
        <v>25130</v>
      </c>
      <c r="K759" s="11" t="n">
        <f aca="false">MIN(IF(A759&gt;0,Calculator!$B$13,0)+E759+Calculator!$B$14,'Tax Tables'!$B$36)</f>
        <v>1000</v>
      </c>
      <c r="L759" s="11" t="n">
        <f aca="false">MAX(A759-K759,0)</f>
        <v>372000</v>
      </c>
      <c r="M759" s="11" t="n">
        <f aca="false">SUMPRODUCT((L759&gt;'Tax Tables'!$A$5:$A$17)*(L759-'Tax Tables'!$A$5:$A$17)*'Tax Tables'!$C$5:$C$17)</f>
        <v>55990</v>
      </c>
      <c r="N759" s="11" t="n">
        <f aca="false">IF(H759&lt;0,-1E+099,A759-E759-M759+J759+(E759+F759)*Calculator!$B$9)</f>
        <v>342140</v>
      </c>
      <c r="O759" s="2"/>
      <c r="P759" s="11" t="n">
        <f aca="false">746*$B$3</f>
        <v>373000</v>
      </c>
      <c r="Q759" s="11" t="n">
        <f aca="false">MIN(P759,'Tax Tables'!$B$31*'Tax Tables'!$B$32)</f>
        <v>96000</v>
      </c>
      <c r="R759" s="11" t="n">
        <f aca="false">P759-Q759</f>
        <v>277000</v>
      </c>
      <c r="S759" s="11" t="n">
        <f aca="false">IF(Calculator!$B$6="Yes",MIN(Q759,'Tax Tables'!$B$31*'Tax Tables'!$B$32),0)</f>
        <v>96000</v>
      </c>
      <c r="T759" s="11" t="n">
        <f aca="false">S759*Calculator!$B$7</f>
        <v>19200</v>
      </c>
      <c r="U759" s="11" t="n">
        <f aca="false">S759*Calculator!$B$8</f>
        <v>16320</v>
      </c>
      <c r="V759" s="11" t="n">
        <f aca="false">IF(Q759&gt;0,'Tax Tables'!$B$32*MIN(MAX(Q759/'Tax Tables'!$B$32*'Tax Tables'!$B$33,'Tax Tables'!$B$34),'Tax Tables'!$B$35),0)</f>
        <v>135</v>
      </c>
      <c r="W759" s="11" t="n">
        <f aca="false">Calculator!$B$5-P759-U759-V759</f>
        <v>10545</v>
      </c>
      <c r="X759" s="11" t="n">
        <f aca="false">'Tax Tables'!$B$22*(MAX(W759,0)-IF(Calculator!$B$10="Yes",MIN(MAX(W759,0),'Tax Tables'!$B$27)*'Tax Tables'!$B$28+MIN(MAX(MAX(W759,0)-'Tax Tables'!$B$27,0),'Tax Tables'!$B$29)*'Tax Tables'!$B$30,MIN(MAX(W759,0),'Tax Tables'!$B$23)*'Tax Tables'!$B$24+MIN(MAX(MAX(W759,0)-'Tax Tables'!$B$23,0),'Tax Tables'!$B$25)*'Tax Tables'!$B$26))*1-MIN('Tax Tables'!$B$22*(MAX(W759,0)-IF(Calculator!$B$10="Yes",MIN(MAX(W759,0),'Tax Tables'!$B$27)*'Tax Tables'!$B$28+MIN(MAX(MAX(W759,0)-'Tax Tables'!$B$27,0),'Tax Tables'!$B$29)*'Tax Tables'!$B$30,MIN(MAX(W759,0),'Tax Tables'!$B$23)*'Tax Tables'!$B$24+MIN(MAX(MAX(W759,0)-'Tax Tables'!$B$23,0),'Tax Tables'!$B$25)*'Tax Tables'!$B$26))*Calculator!$B$11,Calculator!$B$12)</f>
        <v>471.325</v>
      </c>
      <c r="Y759" s="11" t="n">
        <f aca="false">MAX(W759,0)-X759</f>
        <v>10073.675</v>
      </c>
      <c r="Z759" s="11" t="n">
        <f aca="false">MIN(IF(P759&gt;0,Calculator!$B$13,0)+T759+Calculator!$B$14,'Tax Tables'!$B$36)</f>
        <v>20200</v>
      </c>
      <c r="AA759" s="11" t="n">
        <f aca="false">MAX(P759-Z759,0)</f>
        <v>352800</v>
      </c>
      <c r="AB759" s="11" t="n">
        <f aca="false">SUMPRODUCT((AA759&gt;'Tax Tables'!$A$5:$A$17)*(AA759-'Tax Tables'!$A$5:$A$17)*'Tax Tables'!$C$5:$C$17)</f>
        <v>51766</v>
      </c>
      <c r="AC759" s="11" t="n">
        <f aca="false">IF(W759&lt;0,-1E+099,P759-T759-AB759+Y759+(T759+U759)*Calculator!$B$9)</f>
        <v>347627.675</v>
      </c>
    </row>
    <row r="760" customFormat="false" ht="15" hidden="false" customHeight="false" outlineLevel="0" collapsed="false">
      <c r="A760" s="11" t="n">
        <f aca="false">747*$B$3</f>
        <v>373500</v>
      </c>
      <c r="B760" s="11" t="n">
        <f aca="false">0</f>
        <v>0</v>
      </c>
      <c r="C760" s="11" t="n">
        <f aca="false">A760-B760</f>
        <v>373500</v>
      </c>
      <c r="D760" s="11" t="n">
        <f aca="false">IF(Calculator!$B$6="Yes",MIN(B760,'Tax Tables'!$B$31*'Tax Tables'!$B$32),0)</f>
        <v>0</v>
      </c>
      <c r="E760" s="11" t="n">
        <f aca="false">D760*Calculator!$B$7</f>
        <v>0</v>
      </c>
      <c r="F760" s="11" t="n">
        <f aca="false">D760*Calculator!$B$8</f>
        <v>0</v>
      </c>
      <c r="G760" s="11" t="n">
        <f aca="false">IF(B760&gt;0,'Tax Tables'!$B$32*MIN(MAX(B760/'Tax Tables'!$B$32*'Tax Tables'!$B$33,'Tax Tables'!$B$34),'Tax Tables'!$B$35),0)</f>
        <v>0</v>
      </c>
      <c r="H760" s="11" t="n">
        <f aca="false">Calculator!$B$5-A760-F760-G760</f>
        <v>26500</v>
      </c>
      <c r="I760" s="11" t="n">
        <f aca="false">'Tax Tables'!$B$22*(MAX(H760,0)-IF(Calculator!$B$10="Yes",MIN(MAX(H760,0),'Tax Tables'!$B$27)*'Tax Tables'!$B$28+MIN(MAX(MAX(H760,0)-'Tax Tables'!$B$27,0),'Tax Tables'!$B$29)*'Tax Tables'!$B$30,MIN(MAX(H760,0),'Tax Tables'!$B$23)*'Tax Tables'!$B$24+MIN(MAX(MAX(H760,0)-'Tax Tables'!$B$23,0),'Tax Tables'!$B$25)*'Tax Tables'!$B$26))*1-MIN('Tax Tables'!$B$22*(MAX(H760,0)-IF(Calculator!$B$10="Yes",MIN(MAX(H760,0),'Tax Tables'!$B$27)*'Tax Tables'!$B$28+MIN(MAX(MAX(H760,0)-'Tax Tables'!$B$27,0),'Tax Tables'!$B$29)*'Tax Tables'!$B$30,MIN(MAX(H760,0),'Tax Tables'!$B$23)*'Tax Tables'!$B$24+MIN(MAX(MAX(H760,0)-'Tax Tables'!$B$23,0),'Tax Tables'!$B$25)*'Tax Tables'!$B$26))*Calculator!$B$11,Calculator!$B$12)</f>
        <v>1827.5</v>
      </c>
      <c r="J760" s="11" t="n">
        <f aca="false">MAX(H760,0)-I760</f>
        <v>24672.5</v>
      </c>
      <c r="K760" s="11" t="n">
        <f aca="false">MIN(IF(A760&gt;0,Calculator!$B$13,0)+E760+Calculator!$B$14,'Tax Tables'!$B$36)</f>
        <v>1000</v>
      </c>
      <c r="L760" s="11" t="n">
        <f aca="false">MAX(A760-K760,0)</f>
        <v>372500</v>
      </c>
      <c r="M760" s="11" t="n">
        <f aca="false">SUMPRODUCT((L760&gt;'Tax Tables'!$A$5:$A$17)*(L760-'Tax Tables'!$A$5:$A$17)*'Tax Tables'!$C$5:$C$17)</f>
        <v>56100</v>
      </c>
      <c r="N760" s="11" t="n">
        <f aca="false">IF(H760&lt;0,-1E+099,A760-E760-M760+J760+(E760+F760)*Calculator!$B$9)</f>
        <v>342072.5</v>
      </c>
      <c r="O760" s="2"/>
      <c r="P760" s="11" t="n">
        <f aca="false">747*$B$3</f>
        <v>373500</v>
      </c>
      <c r="Q760" s="11" t="n">
        <f aca="false">MIN(P760,'Tax Tables'!$B$31*'Tax Tables'!$B$32)</f>
        <v>96000</v>
      </c>
      <c r="R760" s="11" t="n">
        <f aca="false">P760-Q760</f>
        <v>277500</v>
      </c>
      <c r="S760" s="11" t="n">
        <f aca="false">IF(Calculator!$B$6="Yes",MIN(Q760,'Tax Tables'!$B$31*'Tax Tables'!$B$32),0)</f>
        <v>96000</v>
      </c>
      <c r="T760" s="11" t="n">
        <f aca="false">S760*Calculator!$B$7</f>
        <v>19200</v>
      </c>
      <c r="U760" s="11" t="n">
        <f aca="false">S760*Calculator!$B$8</f>
        <v>16320</v>
      </c>
      <c r="V760" s="11" t="n">
        <f aca="false">IF(Q760&gt;0,'Tax Tables'!$B$32*MIN(MAX(Q760/'Tax Tables'!$B$32*'Tax Tables'!$B$33,'Tax Tables'!$B$34),'Tax Tables'!$B$35),0)</f>
        <v>135</v>
      </c>
      <c r="W760" s="11" t="n">
        <f aca="false">Calculator!$B$5-P760-U760-V760</f>
        <v>10045</v>
      </c>
      <c r="X760" s="11" t="n">
        <f aca="false">'Tax Tables'!$B$22*(MAX(W760,0)-IF(Calculator!$B$10="Yes",MIN(MAX(W760,0),'Tax Tables'!$B$27)*'Tax Tables'!$B$28+MIN(MAX(MAX(W760,0)-'Tax Tables'!$B$27,0),'Tax Tables'!$B$29)*'Tax Tables'!$B$30,MIN(MAX(W760,0),'Tax Tables'!$B$23)*'Tax Tables'!$B$24+MIN(MAX(MAX(W760,0)-'Tax Tables'!$B$23,0),'Tax Tables'!$B$25)*'Tax Tables'!$B$26))*1-MIN('Tax Tables'!$B$22*(MAX(W760,0)-IF(Calculator!$B$10="Yes",MIN(MAX(W760,0),'Tax Tables'!$B$27)*'Tax Tables'!$B$28+MIN(MAX(MAX(W760,0)-'Tax Tables'!$B$27,0),'Tax Tables'!$B$29)*'Tax Tables'!$B$30,MIN(MAX(W760,0),'Tax Tables'!$B$23)*'Tax Tables'!$B$24+MIN(MAX(MAX(W760,0)-'Tax Tables'!$B$23,0),'Tax Tables'!$B$25)*'Tax Tables'!$B$26))*Calculator!$B$11,Calculator!$B$12)</f>
        <v>428.825</v>
      </c>
      <c r="Y760" s="11" t="n">
        <f aca="false">MAX(W760,0)-X760</f>
        <v>9616.175</v>
      </c>
      <c r="Z760" s="11" t="n">
        <f aca="false">MIN(IF(P760&gt;0,Calculator!$B$13,0)+T760+Calculator!$B$14,'Tax Tables'!$B$36)</f>
        <v>20200</v>
      </c>
      <c r="AA760" s="11" t="n">
        <f aca="false">MAX(P760-Z760,0)</f>
        <v>353300</v>
      </c>
      <c r="AB760" s="11" t="n">
        <f aca="false">SUMPRODUCT((AA760&gt;'Tax Tables'!$A$5:$A$17)*(AA760-'Tax Tables'!$A$5:$A$17)*'Tax Tables'!$C$5:$C$17)</f>
        <v>51876</v>
      </c>
      <c r="AC760" s="11" t="n">
        <f aca="false">IF(W760&lt;0,-1E+099,P760-T760-AB760+Y760+(T760+U760)*Calculator!$B$9)</f>
        <v>347560.175</v>
      </c>
    </row>
    <row r="761" customFormat="false" ht="15" hidden="false" customHeight="false" outlineLevel="0" collapsed="false">
      <c r="A761" s="11" t="n">
        <f aca="false">748*$B$3</f>
        <v>374000</v>
      </c>
      <c r="B761" s="11" t="n">
        <f aca="false">0</f>
        <v>0</v>
      </c>
      <c r="C761" s="11" t="n">
        <f aca="false">A761-B761</f>
        <v>374000</v>
      </c>
      <c r="D761" s="11" t="n">
        <f aca="false">IF(Calculator!$B$6="Yes",MIN(B761,'Tax Tables'!$B$31*'Tax Tables'!$B$32),0)</f>
        <v>0</v>
      </c>
      <c r="E761" s="11" t="n">
        <f aca="false">D761*Calculator!$B$7</f>
        <v>0</v>
      </c>
      <c r="F761" s="11" t="n">
        <f aca="false">D761*Calculator!$B$8</f>
        <v>0</v>
      </c>
      <c r="G761" s="11" t="n">
        <f aca="false">IF(B761&gt;0,'Tax Tables'!$B$32*MIN(MAX(B761/'Tax Tables'!$B$32*'Tax Tables'!$B$33,'Tax Tables'!$B$34),'Tax Tables'!$B$35),0)</f>
        <v>0</v>
      </c>
      <c r="H761" s="11" t="n">
        <f aca="false">Calculator!$B$5-A761-F761-G761</f>
        <v>26000</v>
      </c>
      <c r="I761" s="11" t="n">
        <f aca="false">'Tax Tables'!$B$22*(MAX(H761,0)-IF(Calculator!$B$10="Yes",MIN(MAX(H761,0),'Tax Tables'!$B$27)*'Tax Tables'!$B$28+MIN(MAX(MAX(H761,0)-'Tax Tables'!$B$27,0),'Tax Tables'!$B$29)*'Tax Tables'!$B$30,MIN(MAX(H761,0),'Tax Tables'!$B$23)*'Tax Tables'!$B$24+MIN(MAX(MAX(H761,0)-'Tax Tables'!$B$23,0),'Tax Tables'!$B$25)*'Tax Tables'!$B$26))*1-MIN('Tax Tables'!$B$22*(MAX(H761,0)-IF(Calculator!$B$10="Yes",MIN(MAX(H761,0),'Tax Tables'!$B$27)*'Tax Tables'!$B$28+MIN(MAX(MAX(H761,0)-'Tax Tables'!$B$27,0),'Tax Tables'!$B$29)*'Tax Tables'!$B$30,MIN(MAX(H761,0),'Tax Tables'!$B$23)*'Tax Tables'!$B$24+MIN(MAX(MAX(H761,0)-'Tax Tables'!$B$23,0),'Tax Tables'!$B$25)*'Tax Tables'!$B$26))*Calculator!$B$11,Calculator!$B$12)</f>
        <v>1785</v>
      </c>
      <c r="J761" s="11" t="n">
        <f aca="false">MAX(H761,0)-I761</f>
        <v>24215</v>
      </c>
      <c r="K761" s="11" t="n">
        <f aca="false">MIN(IF(A761&gt;0,Calculator!$B$13,0)+E761+Calculator!$B$14,'Tax Tables'!$B$36)</f>
        <v>1000</v>
      </c>
      <c r="L761" s="11" t="n">
        <f aca="false">MAX(A761-K761,0)</f>
        <v>373000</v>
      </c>
      <c r="M761" s="11" t="n">
        <f aca="false">SUMPRODUCT((L761&gt;'Tax Tables'!$A$5:$A$17)*(L761-'Tax Tables'!$A$5:$A$17)*'Tax Tables'!$C$5:$C$17)</f>
        <v>56210</v>
      </c>
      <c r="N761" s="11" t="n">
        <f aca="false">IF(H761&lt;0,-1E+099,A761-E761-M761+J761+(E761+F761)*Calculator!$B$9)</f>
        <v>342005</v>
      </c>
      <c r="O761" s="2"/>
      <c r="P761" s="11" t="n">
        <f aca="false">748*$B$3</f>
        <v>374000</v>
      </c>
      <c r="Q761" s="11" t="n">
        <f aca="false">MIN(P761,'Tax Tables'!$B$31*'Tax Tables'!$B$32)</f>
        <v>96000</v>
      </c>
      <c r="R761" s="11" t="n">
        <f aca="false">P761-Q761</f>
        <v>278000</v>
      </c>
      <c r="S761" s="11" t="n">
        <f aca="false">IF(Calculator!$B$6="Yes",MIN(Q761,'Tax Tables'!$B$31*'Tax Tables'!$B$32),0)</f>
        <v>96000</v>
      </c>
      <c r="T761" s="11" t="n">
        <f aca="false">S761*Calculator!$B$7</f>
        <v>19200</v>
      </c>
      <c r="U761" s="11" t="n">
        <f aca="false">S761*Calculator!$B$8</f>
        <v>16320</v>
      </c>
      <c r="V761" s="11" t="n">
        <f aca="false">IF(Q761&gt;0,'Tax Tables'!$B$32*MIN(MAX(Q761/'Tax Tables'!$B$32*'Tax Tables'!$B$33,'Tax Tables'!$B$34),'Tax Tables'!$B$35),0)</f>
        <v>135</v>
      </c>
      <c r="W761" s="11" t="n">
        <f aca="false">Calculator!$B$5-P761-U761-V761</f>
        <v>9545</v>
      </c>
      <c r="X761" s="11" t="n">
        <f aca="false">'Tax Tables'!$B$22*(MAX(W761,0)-IF(Calculator!$B$10="Yes",MIN(MAX(W761,0),'Tax Tables'!$B$27)*'Tax Tables'!$B$28+MIN(MAX(MAX(W761,0)-'Tax Tables'!$B$27,0),'Tax Tables'!$B$29)*'Tax Tables'!$B$30,MIN(MAX(W761,0),'Tax Tables'!$B$23)*'Tax Tables'!$B$24+MIN(MAX(MAX(W761,0)-'Tax Tables'!$B$23,0),'Tax Tables'!$B$25)*'Tax Tables'!$B$26))*1-MIN('Tax Tables'!$B$22*(MAX(W761,0)-IF(Calculator!$B$10="Yes",MIN(MAX(W761,0),'Tax Tables'!$B$27)*'Tax Tables'!$B$28+MIN(MAX(MAX(W761,0)-'Tax Tables'!$B$27,0),'Tax Tables'!$B$29)*'Tax Tables'!$B$30,MIN(MAX(W761,0),'Tax Tables'!$B$23)*'Tax Tables'!$B$24+MIN(MAX(MAX(W761,0)-'Tax Tables'!$B$23,0),'Tax Tables'!$B$25)*'Tax Tables'!$B$26))*Calculator!$B$11,Calculator!$B$12)</f>
        <v>405.6625</v>
      </c>
      <c r="Y761" s="11" t="n">
        <f aca="false">MAX(W761,0)-X761</f>
        <v>9139.3375</v>
      </c>
      <c r="Z761" s="11" t="n">
        <f aca="false">MIN(IF(P761&gt;0,Calculator!$B$13,0)+T761+Calculator!$B$14,'Tax Tables'!$B$36)</f>
        <v>20200</v>
      </c>
      <c r="AA761" s="11" t="n">
        <f aca="false">MAX(P761-Z761,0)</f>
        <v>353800</v>
      </c>
      <c r="AB761" s="11" t="n">
        <f aca="false">SUMPRODUCT((AA761&gt;'Tax Tables'!$A$5:$A$17)*(AA761-'Tax Tables'!$A$5:$A$17)*'Tax Tables'!$C$5:$C$17)</f>
        <v>51986</v>
      </c>
      <c r="AC761" s="11" t="n">
        <f aca="false">IF(W761&lt;0,-1E+099,P761-T761-AB761+Y761+(T761+U761)*Calculator!$B$9)</f>
        <v>347473.3375</v>
      </c>
    </row>
    <row r="762" customFormat="false" ht="15" hidden="false" customHeight="false" outlineLevel="0" collapsed="false">
      <c r="A762" s="11" t="n">
        <f aca="false">749*$B$3</f>
        <v>374500</v>
      </c>
      <c r="B762" s="11" t="n">
        <f aca="false">0</f>
        <v>0</v>
      </c>
      <c r="C762" s="11" t="n">
        <f aca="false">A762-B762</f>
        <v>374500</v>
      </c>
      <c r="D762" s="11" t="n">
        <f aca="false">IF(Calculator!$B$6="Yes",MIN(B762,'Tax Tables'!$B$31*'Tax Tables'!$B$32),0)</f>
        <v>0</v>
      </c>
      <c r="E762" s="11" t="n">
        <f aca="false">D762*Calculator!$B$7</f>
        <v>0</v>
      </c>
      <c r="F762" s="11" t="n">
        <f aca="false">D762*Calculator!$B$8</f>
        <v>0</v>
      </c>
      <c r="G762" s="11" t="n">
        <f aca="false">IF(B762&gt;0,'Tax Tables'!$B$32*MIN(MAX(B762/'Tax Tables'!$B$32*'Tax Tables'!$B$33,'Tax Tables'!$B$34),'Tax Tables'!$B$35),0)</f>
        <v>0</v>
      </c>
      <c r="H762" s="11" t="n">
        <f aca="false">Calculator!$B$5-A762-F762-G762</f>
        <v>25500</v>
      </c>
      <c r="I762" s="11" t="n">
        <f aca="false">'Tax Tables'!$B$22*(MAX(H762,0)-IF(Calculator!$B$10="Yes",MIN(MAX(H762,0),'Tax Tables'!$B$27)*'Tax Tables'!$B$28+MIN(MAX(MAX(H762,0)-'Tax Tables'!$B$27,0),'Tax Tables'!$B$29)*'Tax Tables'!$B$30,MIN(MAX(H762,0),'Tax Tables'!$B$23)*'Tax Tables'!$B$24+MIN(MAX(MAX(H762,0)-'Tax Tables'!$B$23,0),'Tax Tables'!$B$25)*'Tax Tables'!$B$26))*1-MIN('Tax Tables'!$B$22*(MAX(H762,0)-IF(Calculator!$B$10="Yes",MIN(MAX(H762,0),'Tax Tables'!$B$27)*'Tax Tables'!$B$28+MIN(MAX(MAX(H762,0)-'Tax Tables'!$B$27,0),'Tax Tables'!$B$29)*'Tax Tables'!$B$30,MIN(MAX(H762,0),'Tax Tables'!$B$23)*'Tax Tables'!$B$24+MIN(MAX(MAX(H762,0)-'Tax Tables'!$B$23,0),'Tax Tables'!$B$25)*'Tax Tables'!$B$26))*Calculator!$B$11,Calculator!$B$12)</f>
        <v>1742.5</v>
      </c>
      <c r="J762" s="11" t="n">
        <f aca="false">MAX(H762,0)-I762</f>
        <v>23757.5</v>
      </c>
      <c r="K762" s="11" t="n">
        <f aca="false">MIN(IF(A762&gt;0,Calculator!$B$13,0)+E762+Calculator!$B$14,'Tax Tables'!$B$36)</f>
        <v>1000</v>
      </c>
      <c r="L762" s="11" t="n">
        <f aca="false">MAX(A762-K762,0)</f>
        <v>373500</v>
      </c>
      <c r="M762" s="11" t="n">
        <f aca="false">SUMPRODUCT((L762&gt;'Tax Tables'!$A$5:$A$17)*(L762-'Tax Tables'!$A$5:$A$17)*'Tax Tables'!$C$5:$C$17)</f>
        <v>56320</v>
      </c>
      <c r="N762" s="11" t="n">
        <f aca="false">IF(H762&lt;0,-1E+099,A762-E762-M762+J762+(E762+F762)*Calculator!$B$9)</f>
        <v>341937.5</v>
      </c>
      <c r="O762" s="2"/>
      <c r="P762" s="11" t="n">
        <f aca="false">749*$B$3</f>
        <v>374500</v>
      </c>
      <c r="Q762" s="11" t="n">
        <f aca="false">MIN(P762,'Tax Tables'!$B$31*'Tax Tables'!$B$32)</f>
        <v>96000</v>
      </c>
      <c r="R762" s="11" t="n">
        <f aca="false">P762-Q762</f>
        <v>278500</v>
      </c>
      <c r="S762" s="11" t="n">
        <f aca="false">IF(Calculator!$B$6="Yes",MIN(Q762,'Tax Tables'!$B$31*'Tax Tables'!$B$32),0)</f>
        <v>96000</v>
      </c>
      <c r="T762" s="11" t="n">
        <f aca="false">S762*Calculator!$B$7</f>
        <v>19200</v>
      </c>
      <c r="U762" s="11" t="n">
        <f aca="false">S762*Calculator!$B$8</f>
        <v>16320</v>
      </c>
      <c r="V762" s="11" t="n">
        <f aca="false">IF(Q762&gt;0,'Tax Tables'!$B$32*MIN(MAX(Q762/'Tax Tables'!$B$32*'Tax Tables'!$B$33,'Tax Tables'!$B$34),'Tax Tables'!$B$35),0)</f>
        <v>135</v>
      </c>
      <c r="W762" s="11" t="n">
        <f aca="false">Calculator!$B$5-P762-U762-V762</f>
        <v>9045</v>
      </c>
      <c r="X762" s="11" t="n">
        <f aca="false">'Tax Tables'!$B$22*(MAX(W762,0)-IF(Calculator!$B$10="Yes",MIN(MAX(W762,0),'Tax Tables'!$B$27)*'Tax Tables'!$B$28+MIN(MAX(MAX(W762,0)-'Tax Tables'!$B$27,0),'Tax Tables'!$B$29)*'Tax Tables'!$B$30,MIN(MAX(W762,0),'Tax Tables'!$B$23)*'Tax Tables'!$B$24+MIN(MAX(MAX(W762,0)-'Tax Tables'!$B$23,0),'Tax Tables'!$B$25)*'Tax Tables'!$B$26))*1-MIN('Tax Tables'!$B$22*(MAX(W762,0)-IF(Calculator!$B$10="Yes",MIN(MAX(W762,0),'Tax Tables'!$B$27)*'Tax Tables'!$B$28+MIN(MAX(MAX(W762,0)-'Tax Tables'!$B$27,0),'Tax Tables'!$B$29)*'Tax Tables'!$B$30,MIN(MAX(W762,0),'Tax Tables'!$B$23)*'Tax Tables'!$B$24+MIN(MAX(MAX(W762,0)-'Tax Tables'!$B$23,0),'Tax Tables'!$B$25)*'Tax Tables'!$B$26))*Calculator!$B$11,Calculator!$B$12)</f>
        <v>384.4125</v>
      </c>
      <c r="Y762" s="11" t="n">
        <f aca="false">MAX(W762,0)-X762</f>
        <v>8660.5875</v>
      </c>
      <c r="Z762" s="11" t="n">
        <f aca="false">MIN(IF(P762&gt;0,Calculator!$B$13,0)+T762+Calculator!$B$14,'Tax Tables'!$B$36)</f>
        <v>20200</v>
      </c>
      <c r="AA762" s="11" t="n">
        <f aca="false">MAX(P762-Z762,0)</f>
        <v>354300</v>
      </c>
      <c r="AB762" s="11" t="n">
        <f aca="false">SUMPRODUCT((AA762&gt;'Tax Tables'!$A$5:$A$17)*(AA762-'Tax Tables'!$A$5:$A$17)*'Tax Tables'!$C$5:$C$17)</f>
        <v>52096</v>
      </c>
      <c r="AC762" s="11" t="n">
        <f aca="false">IF(W762&lt;0,-1E+099,P762-T762-AB762+Y762+(T762+U762)*Calculator!$B$9)</f>
        <v>347384.5875</v>
      </c>
    </row>
    <row r="763" customFormat="false" ht="15" hidden="false" customHeight="false" outlineLevel="0" collapsed="false">
      <c r="A763" s="11" t="n">
        <f aca="false">750*$B$3</f>
        <v>375000</v>
      </c>
      <c r="B763" s="11" t="n">
        <f aca="false">0</f>
        <v>0</v>
      </c>
      <c r="C763" s="11" t="n">
        <f aca="false">A763-B763</f>
        <v>375000</v>
      </c>
      <c r="D763" s="11" t="n">
        <f aca="false">IF(Calculator!$B$6="Yes",MIN(B763,'Tax Tables'!$B$31*'Tax Tables'!$B$32),0)</f>
        <v>0</v>
      </c>
      <c r="E763" s="11" t="n">
        <f aca="false">D763*Calculator!$B$7</f>
        <v>0</v>
      </c>
      <c r="F763" s="11" t="n">
        <f aca="false">D763*Calculator!$B$8</f>
        <v>0</v>
      </c>
      <c r="G763" s="11" t="n">
        <f aca="false">IF(B763&gt;0,'Tax Tables'!$B$32*MIN(MAX(B763/'Tax Tables'!$B$32*'Tax Tables'!$B$33,'Tax Tables'!$B$34),'Tax Tables'!$B$35),0)</f>
        <v>0</v>
      </c>
      <c r="H763" s="11" t="n">
        <f aca="false">Calculator!$B$5-A763-F763-G763</f>
        <v>25000</v>
      </c>
      <c r="I763" s="11" t="n">
        <f aca="false">'Tax Tables'!$B$22*(MAX(H763,0)-IF(Calculator!$B$10="Yes",MIN(MAX(H763,0),'Tax Tables'!$B$27)*'Tax Tables'!$B$28+MIN(MAX(MAX(H763,0)-'Tax Tables'!$B$27,0),'Tax Tables'!$B$29)*'Tax Tables'!$B$30,MIN(MAX(H763,0),'Tax Tables'!$B$23)*'Tax Tables'!$B$24+MIN(MAX(MAX(H763,0)-'Tax Tables'!$B$23,0),'Tax Tables'!$B$25)*'Tax Tables'!$B$26))*1-MIN('Tax Tables'!$B$22*(MAX(H763,0)-IF(Calculator!$B$10="Yes",MIN(MAX(H763,0),'Tax Tables'!$B$27)*'Tax Tables'!$B$28+MIN(MAX(MAX(H763,0)-'Tax Tables'!$B$27,0),'Tax Tables'!$B$29)*'Tax Tables'!$B$30,MIN(MAX(H763,0),'Tax Tables'!$B$23)*'Tax Tables'!$B$24+MIN(MAX(MAX(H763,0)-'Tax Tables'!$B$23,0),'Tax Tables'!$B$25)*'Tax Tables'!$B$26))*Calculator!$B$11,Calculator!$B$12)</f>
        <v>1700</v>
      </c>
      <c r="J763" s="11" t="n">
        <f aca="false">MAX(H763,0)-I763</f>
        <v>23300</v>
      </c>
      <c r="K763" s="11" t="n">
        <f aca="false">MIN(IF(A763&gt;0,Calculator!$B$13,0)+E763+Calculator!$B$14,'Tax Tables'!$B$36)</f>
        <v>1000</v>
      </c>
      <c r="L763" s="11" t="n">
        <f aca="false">MAX(A763-K763,0)</f>
        <v>374000</v>
      </c>
      <c r="M763" s="11" t="n">
        <f aca="false">SUMPRODUCT((L763&gt;'Tax Tables'!$A$5:$A$17)*(L763-'Tax Tables'!$A$5:$A$17)*'Tax Tables'!$C$5:$C$17)</f>
        <v>56430</v>
      </c>
      <c r="N763" s="11" t="n">
        <f aca="false">IF(H763&lt;0,-1E+099,A763-E763-M763+J763+(E763+F763)*Calculator!$B$9)</f>
        <v>341870</v>
      </c>
      <c r="O763" s="2"/>
      <c r="P763" s="11" t="n">
        <f aca="false">750*$B$3</f>
        <v>375000</v>
      </c>
      <c r="Q763" s="11" t="n">
        <f aca="false">MIN(P763,'Tax Tables'!$B$31*'Tax Tables'!$B$32)</f>
        <v>96000</v>
      </c>
      <c r="R763" s="11" t="n">
        <f aca="false">P763-Q763</f>
        <v>279000</v>
      </c>
      <c r="S763" s="11" t="n">
        <f aca="false">IF(Calculator!$B$6="Yes",MIN(Q763,'Tax Tables'!$B$31*'Tax Tables'!$B$32),0)</f>
        <v>96000</v>
      </c>
      <c r="T763" s="11" t="n">
        <f aca="false">S763*Calculator!$B$7</f>
        <v>19200</v>
      </c>
      <c r="U763" s="11" t="n">
        <f aca="false">S763*Calculator!$B$8</f>
        <v>16320</v>
      </c>
      <c r="V763" s="11" t="n">
        <f aca="false">IF(Q763&gt;0,'Tax Tables'!$B$32*MIN(MAX(Q763/'Tax Tables'!$B$32*'Tax Tables'!$B$33,'Tax Tables'!$B$34),'Tax Tables'!$B$35),0)</f>
        <v>135</v>
      </c>
      <c r="W763" s="11" t="n">
        <f aca="false">Calculator!$B$5-P763-U763-V763</f>
        <v>8545</v>
      </c>
      <c r="X763" s="11" t="n">
        <f aca="false">'Tax Tables'!$B$22*(MAX(W763,0)-IF(Calculator!$B$10="Yes",MIN(MAX(W763,0),'Tax Tables'!$B$27)*'Tax Tables'!$B$28+MIN(MAX(MAX(W763,0)-'Tax Tables'!$B$27,0),'Tax Tables'!$B$29)*'Tax Tables'!$B$30,MIN(MAX(W763,0),'Tax Tables'!$B$23)*'Tax Tables'!$B$24+MIN(MAX(MAX(W763,0)-'Tax Tables'!$B$23,0),'Tax Tables'!$B$25)*'Tax Tables'!$B$26))*1-MIN('Tax Tables'!$B$22*(MAX(W763,0)-IF(Calculator!$B$10="Yes",MIN(MAX(W763,0),'Tax Tables'!$B$27)*'Tax Tables'!$B$28+MIN(MAX(MAX(W763,0)-'Tax Tables'!$B$27,0),'Tax Tables'!$B$29)*'Tax Tables'!$B$30,MIN(MAX(W763,0),'Tax Tables'!$B$23)*'Tax Tables'!$B$24+MIN(MAX(MAX(W763,0)-'Tax Tables'!$B$23,0),'Tax Tables'!$B$25)*'Tax Tables'!$B$26))*Calculator!$B$11,Calculator!$B$12)</f>
        <v>363.1625</v>
      </c>
      <c r="Y763" s="11" t="n">
        <f aca="false">MAX(W763,0)-X763</f>
        <v>8181.8375</v>
      </c>
      <c r="Z763" s="11" t="n">
        <f aca="false">MIN(IF(P763&gt;0,Calculator!$B$13,0)+T763+Calculator!$B$14,'Tax Tables'!$B$36)</f>
        <v>20200</v>
      </c>
      <c r="AA763" s="11" t="n">
        <f aca="false">MAX(P763-Z763,0)</f>
        <v>354800</v>
      </c>
      <c r="AB763" s="11" t="n">
        <f aca="false">SUMPRODUCT((AA763&gt;'Tax Tables'!$A$5:$A$17)*(AA763-'Tax Tables'!$A$5:$A$17)*'Tax Tables'!$C$5:$C$17)</f>
        <v>52206</v>
      </c>
      <c r="AC763" s="11" t="n">
        <f aca="false">IF(W763&lt;0,-1E+099,P763-T763-AB763+Y763+(T763+U763)*Calculator!$B$9)</f>
        <v>347295.8375</v>
      </c>
    </row>
    <row r="764" customFormat="false" ht="15" hidden="false" customHeight="false" outlineLevel="0" collapsed="false">
      <c r="A764" s="11" t="n">
        <f aca="false">751*$B$3</f>
        <v>375500</v>
      </c>
      <c r="B764" s="11" t="n">
        <f aca="false">0</f>
        <v>0</v>
      </c>
      <c r="C764" s="11" t="n">
        <f aca="false">A764-B764</f>
        <v>375500</v>
      </c>
      <c r="D764" s="11" t="n">
        <f aca="false">IF(Calculator!$B$6="Yes",MIN(B764,'Tax Tables'!$B$31*'Tax Tables'!$B$32),0)</f>
        <v>0</v>
      </c>
      <c r="E764" s="11" t="n">
        <f aca="false">D764*Calculator!$B$7</f>
        <v>0</v>
      </c>
      <c r="F764" s="11" t="n">
        <f aca="false">D764*Calculator!$B$8</f>
        <v>0</v>
      </c>
      <c r="G764" s="11" t="n">
        <f aca="false">IF(B764&gt;0,'Tax Tables'!$B$32*MIN(MAX(B764/'Tax Tables'!$B$32*'Tax Tables'!$B$33,'Tax Tables'!$B$34),'Tax Tables'!$B$35),0)</f>
        <v>0</v>
      </c>
      <c r="H764" s="11" t="n">
        <f aca="false">Calculator!$B$5-A764-F764-G764</f>
        <v>24500</v>
      </c>
      <c r="I764" s="11" t="n">
        <f aca="false">'Tax Tables'!$B$22*(MAX(H764,0)-IF(Calculator!$B$10="Yes",MIN(MAX(H764,0),'Tax Tables'!$B$27)*'Tax Tables'!$B$28+MIN(MAX(MAX(H764,0)-'Tax Tables'!$B$27,0),'Tax Tables'!$B$29)*'Tax Tables'!$B$30,MIN(MAX(H764,0),'Tax Tables'!$B$23)*'Tax Tables'!$B$24+MIN(MAX(MAX(H764,0)-'Tax Tables'!$B$23,0),'Tax Tables'!$B$25)*'Tax Tables'!$B$26))*1-MIN('Tax Tables'!$B$22*(MAX(H764,0)-IF(Calculator!$B$10="Yes",MIN(MAX(H764,0),'Tax Tables'!$B$27)*'Tax Tables'!$B$28+MIN(MAX(MAX(H764,0)-'Tax Tables'!$B$27,0),'Tax Tables'!$B$29)*'Tax Tables'!$B$30,MIN(MAX(H764,0),'Tax Tables'!$B$23)*'Tax Tables'!$B$24+MIN(MAX(MAX(H764,0)-'Tax Tables'!$B$23,0),'Tax Tables'!$B$25)*'Tax Tables'!$B$26))*Calculator!$B$11,Calculator!$B$12)</f>
        <v>1657.5</v>
      </c>
      <c r="J764" s="11" t="n">
        <f aca="false">MAX(H764,0)-I764</f>
        <v>22842.5</v>
      </c>
      <c r="K764" s="11" t="n">
        <f aca="false">MIN(IF(A764&gt;0,Calculator!$B$13,0)+E764+Calculator!$B$14,'Tax Tables'!$B$36)</f>
        <v>1000</v>
      </c>
      <c r="L764" s="11" t="n">
        <f aca="false">MAX(A764-K764,0)</f>
        <v>374500</v>
      </c>
      <c r="M764" s="11" t="n">
        <f aca="false">SUMPRODUCT((L764&gt;'Tax Tables'!$A$5:$A$17)*(L764-'Tax Tables'!$A$5:$A$17)*'Tax Tables'!$C$5:$C$17)</f>
        <v>56540</v>
      </c>
      <c r="N764" s="11" t="n">
        <f aca="false">IF(H764&lt;0,-1E+099,A764-E764-M764+J764+(E764+F764)*Calculator!$B$9)</f>
        <v>341802.5</v>
      </c>
      <c r="O764" s="2"/>
      <c r="P764" s="11" t="n">
        <f aca="false">751*$B$3</f>
        <v>375500</v>
      </c>
      <c r="Q764" s="11" t="n">
        <f aca="false">MIN(P764,'Tax Tables'!$B$31*'Tax Tables'!$B$32)</f>
        <v>96000</v>
      </c>
      <c r="R764" s="11" t="n">
        <f aca="false">P764-Q764</f>
        <v>279500</v>
      </c>
      <c r="S764" s="11" t="n">
        <f aca="false">IF(Calculator!$B$6="Yes",MIN(Q764,'Tax Tables'!$B$31*'Tax Tables'!$B$32),0)</f>
        <v>96000</v>
      </c>
      <c r="T764" s="11" t="n">
        <f aca="false">S764*Calculator!$B$7</f>
        <v>19200</v>
      </c>
      <c r="U764" s="11" t="n">
        <f aca="false">S764*Calculator!$B$8</f>
        <v>16320</v>
      </c>
      <c r="V764" s="11" t="n">
        <f aca="false">IF(Q764&gt;0,'Tax Tables'!$B$32*MIN(MAX(Q764/'Tax Tables'!$B$32*'Tax Tables'!$B$33,'Tax Tables'!$B$34),'Tax Tables'!$B$35),0)</f>
        <v>135</v>
      </c>
      <c r="W764" s="11" t="n">
        <f aca="false">Calculator!$B$5-P764-U764-V764</f>
        <v>8045</v>
      </c>
      <c r="X764" s="11" t="n">
        <f aca="false">'Tax Tables'!$B$22*(MAX(W764,0)-IF(Calculator!$B$10="Yes",MIN(MAX(W764,0),'Tax Tables'!$B$27)*'Tax Tables'!$B$28+MIN(MAX(MAX(W764,0)-'Tax Tables'!$B$27,0),'Tax Tables'!$B$29)*'Tax Tables'!$B$30,MIN(MAX(W764,0),'Tax Tables'!$B$23)*'Tax Tables'!$B$24+MIN(MAX(MAX(W764,0)-'Tax Tables'!$B$23,0),'Tax Tables'!$B$25)*'Tax Tables'!$B$26))*1-MIN('Tax Tables'!$B$22*(MAX(W764,0)-IF(Calculator!$B$10="Yes",MIN(MAX(W764,0),'Tax Tables'!$B$27)*'Tax Tables'!$B$28+MIN(MAX(MAX(W764,0)-'Tax Tables'!$B$27,0),'Tax Tables'!$B$29)*'Tax Tables'!$B$30,MIN(MAX(W764,0),'Tax Tables'!$B$23)*'Tax Tables'!$B$24+MIN(MAX(MAX(W764,0)-'Tax Tables'!$B$23,0),'Tax Tables'!$B$25)*'Tax Tables'!$B$26))*Calculator!$B$11,Calculator!$B$12)</f>
        <v>341.9125</v>
      </c>
      <c r="Y764" s="11" t="n">
        <f aca="false">MAX(W764,0)-X764</f>
        <v>7703.0875</v>
      </c>
      <c r="Z764" s="11" t="n">
        <f aca="false">MIN(IF(P764&gt;0,Calculator!$B$13,0)+T764+Calculator!$B$14,'Tax Tables'!$B$36)</f>
        <v>20200</v>
      </c>
      <c r="AA764" s="11" t="n">
        <f aca="false">MAX(P764-Z764,0)</f>
        <v>355300</v>
      </c>
      <c r="AB764" s="11" t="n">
        <f aca="false">SUMPRODUCT((AA764&gt;'Tax Tables'!$A$5:$A$17)*(AA764-'Tax Tables'!$A$5:$A$17)*'Tax Tables'!$C$5:$C$17)</f>
        <v>52316</v>
      </c>
      <c r="AC764" s="11" t="n">
        <f aca="false">IF(W764&lt;0,-1E+099,P764-T764-AB764+Y764+(T764+U764)*Calculator!$B$9)</f>
        <v>347207.0875</v>
      </c>
    </row>
    <row r="765" customFormat="false" ht="15" hidden="false" customHeight="false" outlineLevel="0" collapsed="false">
      <c r="A765" s="11" t="n">
        <f aca="false">752*$B$3</f>
        <v>376000</v>
      </c>
      <c r="B765" s="11" t="n">
        <f aca="false">0</f>
        <v>0</v>
      </c>
      <c r="C765" s="11" t="n">
        <f aca="false">A765-B765</f>
        <v>376000</v>
      </c>
      <c r="D765" s="11" t="n">
        <f aca="false">IF(Calculator!$B$6="Yes",MIN(B765,'Tax Tables'!$B$31*'Tax Tables'!$B$32),0)</f>
        <v>0</v>
      </c>
      <c r="E765" s="11" t="n">
        <f aca="false">D765*Calculator!$B$7</f>
        <v>0</v>
      </c>
      <c r="F765" s="11" t="n">
        <f aca="false">D765*Calculator!$B$8</f>
        <v>0</v>
      </c>
      <c r="G765" s="11" t="n">
        <f aca="false">IF(B765&gt;0,'Tax Tables'!$B$32*MIN(MAX(B765/'Tax Tables'!$B$32*'Tax Tables'!$B$33,'Tax Tables'!$B$34),'Tax Tables'!$B$35),0)</f>
        <v>0</v>
      </c>
      <c r="H765" s="11" t="n">
        <f aca="false">Calculator!$B$5-A765-F765-G765</f>
        <v>24000</v>
      </c>
      <c r="I765" s="11" t="n">
        <f aca="false">'Tax Tables'!$B$22*(MAX(H765,0)-IF(Calculator!$B$10="Yes",MIN(MAX(H765,0),'Tax Tables'!$B$27)*'Tax Tables'!$B$28+MIN(MAX(MAX(H765,0)-'Tax Tables'!$B$27,0),'Tax Tables'!$B$29)*'Tax Tables'!$B$30,MIN(MAX(H765,0),'Tax Tables'!$B$23)*'Tax Tables'!$B$24+MIN(MAX(MAX(H765,0)-'Tax Tables'!$B$23,0),'Tax Tables'!$B$25)*'Tax Tables'!$B$26))*1-MIN('Tax Tables'!$B$22*(MAX(H765,0)-IF(Calculator!$B$10="Yes",MIN(MAX(H765,0),'Tax Tables'!$B$27)*'Tax Tables'!$B$28+MIN(MAX(MAX(H765,0)-'Tax Tables'!$B$27,0),'Tax Tables'!$B$29)*'Tax Tables'!$B$30,MIN(MAX(H765,0),'Tax Tables'!$B$23)*'Tax Tables'!$B$24+MIN(MAX(MAX(H765,0)-'Tax Tables'!$B$23,0),'Tax Tables'!$B$25)*'Tax Tables'!$B$26))*Calculator!$B$11,Calculator!$B$12)</f>
        <v>1615</v>
      </c>
      <c r="J765" s="11" t="n">
        <f aca="false">MAX(H765,0)-I765</f>
        <v>22385</v>
      </c>
      <c r="K765" s="11" t="n">
        <f aca="false">MIN(IF(A765&gt;0,Calculator!$B$13,0)+E765+Calculator!$B$14,'Tax Tables'!$B$36)</f>
        <v>1000</v>
      </c>
      <c r="L765" s="11" t="n">
        <f aca="false">MAX(A765-K765,0)</f>
        <v>375000</v>
      </c>
      <c r="M765" s="11" t="n">
        <f aca="false">SUMPRODUCT((L765&gt;'Tax Tables'!$A$5:$A$17)*(L765-'Tax Tables'!$A$5:$A$17)*'Tax Tables'!$C$5:$C$17)</f>
        <v>56650</v>
      </c>
      <c r="N765" s="11" t="n">
        <f aca="false">IF(H765&lt;0,-1E+099,A765-E765-M765+J765+(E765+F765)*Calculator!$B$9)</f>
        <v>341735</v>
      </c>
      <c r="O765" s="2"/>
      <c r="P765" s="11" t="n">
        <f aca="false">752*$B$3</f>
        <v>376000</v>
      </c>
      <c r="Q765" s="11" t="n">
        <f aca="false">MIN(P765,'Tax Tables'!$B$31*'Tax Tables'!$B$32)</f>
        <v>96000</v>
      </c>
      <c r="R765" s="11" t="n">
        <f aca="false">P765-Q765</f>
        <v>280000</v>
      </c>
      <c r="S765" s="11" t="n">
        <f aca="false">IF(Calculator!$B$6="Yes",MIN(Q765,'Tax Tables'!$B$31*'Tax Tables'!$B$32),0)</f>
        <v>96000</v>
      </c>
      <c r="T765" s="11" t="n">
        <f aca="false">S765*Calculator!$B$7</f>
        <v>19200</v>
      </c>
      <c r="U765" s="11" t="n">
        <f aca="false">S765*Calculator!$B$8</f>
        <v>16320</v>
      </c>
      <c r="V765" s="11" t="n">
        <f aca="false">IF(Q765&gt;0,'Tax Tables'!$B$32*MIN(MAX(Q765/'Tax Tables'!$B$32*'Tax Tables'!$B$33,'Tax Tables'!$B$34),'Tax Tables'!$B$35),0)</f>
        <v>135</v>
      </c>
      <c r="W765" s="11" t="n">
        <f aca="false">Calculator!$B$5-P765-U765-V765</f>
        <v>7545</v>
      </c>
      <c r="X765" s="11" t="n">
        <f aca="false">'Tax Tables'!$B$22*(MAX(W765,0)-IF(Calculator!$B$10="Yes",MIN(MAX(W765,0),'Tax Tables'!$B$27)*'Tax Tables'!$B$28+MIN(MAX(MAX(W765,0)-'Tax Tables'!$B$27,0),'Tax Tables'!$B$29)*'Tax Tables'!$B$30,MIN(MAX(W765,0),'Tax Tables'!$B$23)*'Tax Tables'!$B$24+MIN(MAX(MAX(W765,0)-'Tax Tables'!$B$23,0),'Tax Tables'!$B$25)*'Tax Tables'!$B$26))*1-MIN('Tax Tables'!$B$22*(MAX(W765,0)-IF(Calculator!$B$10="Yes",MIN(MAX(W765,0),'Tax Tables'!$B$27)*'Tax Tables'!$B$28+MIN(MAX(MAX(W765,0)-'Tax Tables'!$B$27,0),'Tax Tables'!$B$29)*'Tax Tables'!$B$30,MIN(MAX(W765,0),'Tax Tables'!$B$23)*'Tax Tables'!$B$24+MIN(MAX(MAX(W765,0)-'Tax Tables'!$B$23,0),'Tax Tables'!$B$25)*'Tax Tables'!$B$26))*Calculator!$B$11,Calculator!$B$12)</f>
        <v>320.6625</v>
      </c>
      <c r="Y765" s="11" t="n">
        <f aca="false">MAX(W765,0)-X765</f>
        <v>7224.3375</v>
      </c>
      <c r="Z765" s="11" t="n">
        <f aca="false">MIN(IF(P765&gt;0,Calculator!$B$13,0)+T765+Calculator!$B$14,'Tax Tables'!$B$36)</f>
        <v>20200</v>
      </c>
      <c r="AA765" s="11" t="n">
        <f aca="false">MAX(P765-Z765,0)</f>
        <v>355800</v>
      </c>
      <c r="AB765" s="11" t="n">
        <f aca="false">SUMPRODUCT((AA765&gt;'Tax Tables'!$A$5:$A$17)*(AA765-'Tax Tables'!$A$5:$A$17)*'Tax Tables'!$C$5:$C$17)</f>
        <v>52426</v>
      </c>
      <c r="AC765" s="11" t="n">
        <f aca="false">IF(W765&lt;0,-1E+099,P765-T765-AB765+Y765+(T765+U765)*Calculator!$B$9)</f>
        <v>347118.3375</v>
      </c>
    </row>
    <row r="766" customFormat="false" ht="15" hidden="false" customHeight="false" outlineLevel="0" collapsed="false">
      <c r="A766" s="11" t="n">
        <f aca="false">753*$B$3</f>
        <v>376500</v>
      </c>
      <c r="B766" s="11" t="n">
        <f aca="false">0</f>
        <v>0</v>
      </c>
      <c r="C766" s="11" t="n">
        <f aca="false">A766-B766</f>
        <v>376500</v>
      </c>
      <c r="D766" s="11" t="n">
        <f aca="false">IF(Calculator!$B$6="Yes",MIN(B766,'Tax Tables'!$B$31*'Tax Tables'!$B$32),0)</f>
        <v>0</v>
      </c>
      <c r="E766" s="11" t="n">
        <f aca="false">D766*Calculator!$B$7</f>
        <v>0</v>
      </c>
      <c r="F766" s="11" t="n">
        <f aca="false">D766*Calculator!$B$8</f>
        <v>0</v>
      </c>
      <c r="G766" s="11" t="n">
        <f aca="false">IF(B766&gt;0,'Tax Tables'!$B$32*MIN(MAX(B766/'Tax Tables'!$B$32*'Tax Tables'!$B$33,'Tax Tables'!$B$34),'Tax Tables'!$B$35),0)</f>
        <v>0</v>
      </c>
      <c r="H766" s="11" t="n">
        <f aca="false">Calculator!$B$5-A766-F766-G766</f>
        <v>23500</v>
      </c>
      <c r="I766" s="11" t="n">
        <f aca="false">'Tax Tables'!$B$22*(MAX(H766,0)-IF(Calculator!$B$10="Yes",MIN(MAX(H766,0),'Tax Tables'!$B$27)*'Tax Tables'!$B$28+MIN(MAX(MAX(H766,0)-'Tax Tables'!$B$27,0),'Tax Tables'!$B$29)*'Tax Tables'!$B$30,MIN(MAX(H766,0),'Tax Tables'!$B$23)*'Tax Tables'!$B$24+MIN(MAX(MAX(H766,0)-'Tax Tables'!$B$23,0),'Tax Tables'!$B$25)*'Tax Tables'!$B$26))*1-MIN('Tax Tables'!$B$22*(MAX(H766,0)-IF(Calculator!$B$10="Yes",MIN(MAX(H766,0),'Tax Tables'!$B$27)*'Tax Tables'!$B$28+MIN(MAX(MAX(H766,0)-'Tax Tables'!$B$27,0),'Tax Tables'!$B$29)*'Tax Tables'!$B$30,MIN(MAX(H766,0),'Tax Tables'!$B$23)*'Tax Tables'!$B$24+MIN(MAX(MAX(H766,0)-'Tax Tables'!$B$23,0),'Tax Tables'!$B$25)*'Tax Tables'!$B$26))*Calculator!$B$11,Calculator!$B$12)</f>
        <v>1572.5</v>
      </c>
      <c r="J766" s="11" t="n">
        <f aca="false">MAX(H766,0)-I766</f>
        <v>21927.5</v>
      </c>
      <c r="K766" s="11" t="n">
        <f aca="false">MIN(IF(A766&gt;0,Calculator!$B$13,0)+E766+Calculator!$B$14,'Tax Tables'!$B$36)</f>
        <v>1000</v>
      </c>
      <c r="L766" s="11" t="n">
        <f aca="false">MAX(A766-K766,0)</f>
        <v>375500</v>
      </c>
      <c r="M766" s="11" t="n">
        <f aca="false">SUMPRODUCT((L766&gt;'Tax Tables'!$A$5:$A$17)*(L766-'Tax Tables'!$A$5:$A$17)*'Tax Tables'!$C$5:$C$17)</f>
        <v>56760</v>
      </c>
      <c r="N766" s="11" t="n">
        <f aca="false">IF(H766&lt;0,-1E+099,A766-E766-M766+J766+(E766+F766)*Calculator!$B$9)</f>
        <v>341667.5</v>
      </c>
      <c r="O766" s="2"/>
      <c r="P766" s="11" t="n">
        <f aca="false">753*$B$3</f>
        <v>376500</v>
      </c>
      <c r="Q766" s="11" t="n">
        <f aca="false">MIN(P766,'Tax Tables'!$B$31*'Tax Tables'!$B$32)</f>
        <v>96000</v>
      </c>
      <c r="R766" s="11" t="n">
        <f aca="false">P766-Q766</f>
        <v>280500</v>
      </c>
      <c r="S766" s="11" t="n">
        <f aca="false">IF(Calculator!$B$6="Yes",MIN(Q766,'Tax Tables'!$B$31*'Tax Tables'!$B$32),0)</f>
        <v>96000</v>
      </c>
      <c r="T766" s="11" t="n">
        <f aca="false">S766*Calculator!$B$7</f>
        <v>19200</v>
      </c>
      <c r="U766" s="11" t="n">
        <f aca="false">S766*Calculator!$B$8</f>
        <v>16320</v>
      </c>
      <c r="V766" s="11" t="n">
        <f aca="false">IF(Q766&gt;0,'Tax Tables'!$B$32*MIN(MAX(Q766/'Tax Tables'!$B$32*'Tax Tables'!$B$33,'Tax Tables'!$B$34),'Tax Tables'!$B$35),0)</f>
        <v>135</v>
      </c>
      <c r="W766" s="11" t="n">
        <f aca="false">Calculator!$B$5-P766-U766-V766</f>
        <v>7045</v>
      </c>
      <c r="X766" s="11" t="n">
        <f aca="false">'Tax Tables'!$B$22*(MAX(W766,0)-IF(Calculator!$B$10="Yes",MIN(MAX(W766,0),'Tax Tables'!$B$27)*'Tax Tables'!$B$28+MIN(MAX(MAX(W766,0)-'Tax Tables'!$B$27,0),'Tax Tables'!$B$29)*'Tax Tables'!$B$30,MIN(MAX(W766,0),'Tax Tables'!$B$23)*'Tax Tables'!$B$24+MIN(MAX(MAX(W766,0)-'Tax Tables'!$B$23,0),'Tax Tables'!$B$25)*'Tax Tables'!$B$26))*1-MIN('Tax Tables'!$B$22*(MAX(W766,0)-IF(Calculator!$B$10="Yes",MIN(MAX(W766,0),'Tax Tables'!$B$27)*'Tax Tables'!$B$28+MIN(MAX(MAX(W766,0)-'Tax Tables'!$B$27,0),'Tax Tables'!$B$29)*'Tax Tables'!$B$30,MIN(MAX(W766,0),'Tax Tables'!$B$23)*'Tax Tables'!$B$24+MIN(MAX(MAX(W766,0)-'Tax Tables'!$B$23,0),'Tax Tables'!$B$25)*'Tax Tables'!$B$26))*Calculator!$B$11,Calculator!$B$12)</f>
        <v>299.4125</v>
      </c>
      <c r="Y766" s="11" t="n">
        <f aca="false">MAX(W766,0)-X766</f>
        <v>6745.5875</v>
      </c>
      <c r="Z766" s="11" t="n">
        <f aca="false">MIN(IF(P766&gt;0,Calculator!$B$13,0)+T766+Calculator!$B$14,'Tax Tables'!$B$36)</f>
        <v>20200</v>
      </c>
      <c r="AA766" s="11" t="n">
        <f aca="false">MAX(P766-Z766,0)</f>
        <v>356300</v>
      </c>
      <c r="AB766" s="11" t="n">
        <f aca="false">SUMPRODUCT((AA766&gt;'Tax Tables'!$A$5:$A$17)*(AA766-'Tax Tables'!$A$5:$A$17)*'Tax Tables'!$C$5:$C$17)</f>
        <v>52536</v>
      </c>
      <c r="AC766" s="11" t="n">
        <f aca="false">IF(W766&lt;0,-1E+099,P766-T766-AB766+Y766+(T766+U766)*Calculator!$B$9)</f>
        <v>347029.5875</v>
      </c>
    </row>
    <row r="767" customFormat="false" ht="15" hidden="false" customHeight="false" outlineLevel="0" collapsed="false">
      <c r="A767" s="11" t="n">
        <f aca="false">754*$B$3</f>
        <v>377000</v>
      </c>
      <c r="B767" s="11" t="n">
        <f aca="false">0</f>
        <v>0</v>
      </c>
      <c r="C767" s="11" t="n">
        <f aca="false">A767-B767</f>
        <v>377000</v>
      </c>
      <c r="D767" s="11" t="n">
        <f aca="false">IF(Calculator!$B$6="Yes",MIN(B767,'Tax Tables'!$B$31*'Tax Tables'!$B$32),0)</f>
        <v>0</v>
      </c>
      <c r="E767" s="11" t="n">
        <f aca="false">D767*Calculator!$B$7</f>
        <v>0</v>
      </c>
      <c r="F767" s="11" t="n">
        <f aca="false">D767*Calculator!$B$8</f>
        <v>0</v>
      </c>
      <c r="G767" s="11" t="n">
        <f aca="false">IF(B767&gt;0,'Tax Tables'!$B$32*MIN(MAX(B767/'Tax Tables'!$B$32*'Tax Tables'!$B$33,'Tax Tables'!$B$34),'Tax Tables'!$B$35),0)</f>
        <v>0</v>
      </c>
      <c r="H767" s="11" t="n">
        <f aca="false">Calculator!$B$5-A767-F767-G767</f>
        <v>23000</v>
      </c>
      <c r="I767" s="11" t="n">
        <f aca="false">'Tax Tables'!$B$22*(MAX(H767,0)-IF(Calculator!$B$10="Yes",MIN(MAX(H767,0),'Tax Tables'!$B$27)*'Tax Tables'!$B$28+MIN(MAX(MAX(H767,0)-'Tax Tables'!$B$27,0),'Tax Tables'!$B$29)*'Tax Tables'!$B$30,MIN(MAX(H767,0),'Tax Tables'!$B$23)*'Tax Tables'!$B$24+MIN(MAX(MAX(H767,0)-'Tax Tables'!$B$23,0),'Tax Tables'!$B$25)*'Tax Tables'!$B$26))*1-MIN('Tax Tables'!$B$22*(MAX(H767,0)-IF(Calculator!$B$10="Yes",MIN(MAX(H767,0),'Tax Tables'!$B$27)*'Tax Tables'!$B$28+MIN(MAX(MAX(H767,0)-'Tax Tables'!$B$27,0),'Tax Tables'!$B$29)*'Tax Tables'!$B$30,MIN(MAX(H767,0),'Tax Tables'!$B$23)*'Tax Tables'!$B$24+MIN(MAX(MAX(H767,0)-'Tax Tables'!$B$23,0),'Tax Tables'!$B$25)*'Tax Tables'!$B$26))*Calculator!$B$11,Calculator!$B$12)</f>
        <v>1530</v>
      </c>
      <c r="J767" s="11" t="n">
        <f aca="false">MAX(H767,0)-I767</f>
        <v>21470</v>
      </c>
      <c r="K767" s="11" t="n">
        <f aca="false">MIN(IF(A767&gt;0,Calculator!$B$13,0)+E767+Calculator!$B$14,'Tax Tables'!$B$36)</f>
        <v>1000</v>
      </c>
      <c r="L767" s="11" t="n">
        <f aca="false">MAX(A767-K767,0)</f>
        <v>376000</v>
      </c>
      <c r="M767" s="11" t="n">
        <f aca="false">SUMPRODUCT((L767&gt;'Tax Tables'!$A$5:$A$17)*(L767-'Tax Tables'!$A$5:$A$17)*'Tax Tables'!$C$5:$C$17)</f>
        <v>56870</v>
      </c>
      <c r="N767" s="11" t="n">
        <f aca="false">IF(H767&lt;0,-1E+099,A767-E767-M767+J767+(E767+F767)*Calculator!$B$9)</f>
        <v>341600</v>
      </c>
      <c r="O767" s="2"/>
      <c r="P767" s="11" t="n">
        <f aca="false">754*$B$3</f>
        <v>377000</v>
      </c>
      <c r="Q767" s="11" t="n">
        <f aca="false">MIN(P767,'Tax Tables'!$B$31*'Tax Tables'!$B$32)</f>
        <v>96000</v>
      </c>
      <c r="R767" s="11" t="n">
        <f aca="false">P767-Q767</f>
        <v>281000</v>
      </c>
      <c r="S767" s="11" t="n">
        <f aca="false">IF(Calculator!$B$6="Yes",MIN(Q767,'Tax Tables'!$B$31*'Tax Tables'!$B$32),0)</f>
        <v>96000</v>
      </c>
      <c r="T767" s="11" t="n">
        <f aca="false">S767*Calculator!$B$7</f>
        <v>19200</v>
      </c>
      <c r="U767" s="11" t="n">
        <f aca="false">S767*Calculator!$B$8</f>
        <v>16320</v>
      </c>
      <c r="V767" s="11" t="n">
        <f aca="false">IF(Q767&gt;0,'Tax Tables'!$B$32*MIN(MAX(Q767/'Tax Tables'!$B$32*'Tax Tables'!$B$33,'Tax Tables'!$B$34),'Tax Tables'!$B$35),0)</f>
        <v>135</v>
      </c>
      <c r="W767" s="11" t="n">
        <f aca="false">Calculator!$B$5-P767-U767-V767</f>
        <v>6545</v>
      </c>
      <c r="X767" s="11" t="n">
        <f aca="false">'Tax Tables'!$B$22*(MAX(W767,0)-IF(Calculator!$B$10="Yes",MIN(MAX(W767,0),'Tax Tables'!$B$27)*'Tax Tables'!$B$28+MIN(MAX(MAX(W767,0)-'Tax Tables'!$B$27,0),'Tax Tables'!$B$29)*'Tax Tables'!$B$30,MIN(MAX(W767,0),'Tax Tables'!$B$23)*'Tax Tables'!$B$24+MIN(MAX(MAX(W767,0)-'Tax Tables'!$B$23,0),'Tax Tables'!$B$25)*'Tax Tables'!$B$26))*1-MIN('Tax Tables'!$B$22*(MAX(W767,0)-IF(Calculator!$B$10="Yes",MIN(MAX(W767,0),'Tax Tables'!$B$27)*'Tax Tables'!$B$28+MIN(MAX(MAX(W767,0)-'Tax Tables'!$B$27,0),'Tax Tables'!$B$29)*'Tax Tables'!$B$30,MIN(MAX(W767,0),'Tax Tables'!$B$23)*'Tax Tables'!$B$24+MIN(MAX(MAX(W767,0)-'Tax Tables'!$B$23,0),'Tax Tables'!$B$25)*'Tax Tables'!$B$26))*Calculator!$B$11,Calculator!$B$12)</f>
        <v>278.1625</v>
      </c>
      <c r="Y767" s="11" t="n">
        <f aca="false">MAX(W767,0)-X767</f>
        <v>6266.8375</v>
      </c>
      <c r="Z767" s="11" t="n">
        <f aca="false">MIN(IF(P767&gt;0,Calculator!$B$13,0)+T767+Calculator!$B$14,'Tax Tables'!$B$36)</f>
        <v>20200</v>
      </c>
      <c r="AA767" s="11" t="n">
        <f aca="false">MAX(P767-Z767,0)</f>
        <v>356800</v>
      </c>
      <c r="AB767" s="11" t="n">
        <f aca="false">SUMPRODUCT((AA767&gt;'Tax Tables'!$A$5:$A$17)*(AA767-'Tax Tables'!$A$5:$A$17)*'Tax Tables'!$C$5:$C$17)</f>
        <v>52646</v>
      </c>
      <c r="AC767" s="11" t="n">
        <f aca="false">IF(W767&lt;0,-1E+099,P767-T767-AB767+Y767+(T767+U767)*Calculator!$B$9)</f>
        <v>346940.8375</v>
      </c>
    </row>
    <row r="768" customFormat="false" ht="15" hidden="false" customHeight="false" outlineLevel="0" collapsed="false">
      <c r="A768" s="11" t="n">
        <f aca="false">755*$B$3</f>
        <v>377500</v>
      </c>
      <c r="B768" s="11" t="n">
        <f aca="false">0</f>
        <v>0</v>
      </c>
      <c r="C768" s="11" t="n">
        <f aca="false">A768-B768</f>
        <v>377500</v>
      </c>
      <c r="D768" s="11" t="n">
        <f aca="false">IF(Calculator!$B$6="Yes",MIN(B768,'Tax Tables'!$B$31*'Tax Tables'!$B$32),0)</f>
        <v>0</v>
      </c>
      <c r="E768" s="11" t="n">
        <f aca="false">D768*Calculator!$B$7</f>
        <v>0</v>
      </c>
      <c r="F768" s="11" t="n">
        <f aca="false">D768*Calculator!$B$8</f>
        <v>0</v>
      </c>
      <c r="G768" s="11" t="n">
        <f aca="false">IF(B768&gt;0,'Tax Tables'!$B$32*MIN(MAX(B768/'Tax Tables'!$B$32*'Tax Tables'!$B$33,'Tax Tables'!$B$34),'Tax Tables'!$B$35),0)</f>
        <v>0</v>
      </c>
      <c r="H768" s="11" t="n">
        <f aca="false">Calculator!$B$5-A768-F768-G768</f>
        <v>22500</v>
      </c>
      <c r="I768" s="11" t="n">
        <f aca="false">'Tax Tables'!$B$22*(MAX(H768,0)-IF(Calculator!$B$10="Yes",MIN(MAX(H768,0),'Tax Tables'!$B$27)*'Tax Tables'!$B$28+MIN(MAX(MAX(H768,0)-'Tax Tables'!$B$27,0),'Tax Tables'!$B$29)*'Tax Tables'!$B$30,MIN(MAX(H768,0),'Tax Tables'!$B$23)*'Tax Tables'!$B$24+MIN(MAX(MAX(H768,0)-'Tax Tables'!$B$23,0),'Tax Tables'!$B$25)*'Tax Tables'!$B$26))*1-MIN('Tax Tables'!$B$22*(MAX(H768,0)-IF(Calculator!$B$10="Yes",MIN(MAX(H768,0),'Tax Tables'!$B$27)*'Tax Tables'!$B$28+MIN(MAX(MAX(H768,0)-'Tax Tables'!$B$27,0),'Tax Tables'!$B$29)*'Tax Tables'!$B$30,MIN(MAX(H768,0),'Tax Tables'!$B$23)*'Tax Tables'!$B$24+MIN(MAX(MAX(H768,0)-'Tax Tables'!$B$23,0),'Tax Tables'!$B$25)*'Tax Tables'!$B$26))*Calculator!$B$11,Calculator!$B$12)</f>
        <v>1487.5</v>
      </c>
      <c r="J768" s="11" t="n">
        <f aca="false">MAX(H768,0)-I768</f>
        <v>21012.5</v>
      </c>
      <c r="K768" s="11" t="n">
        <f aca="false">MIN(IF(A768&gt;0,Calculator!$B$13,0)+E768+Calculator!$B$14,'Tax Tables'!$B$36)</f>
        <v>1000</v>
      </c>
      <c r="L768" s="11" t="n">
        <f aca="false">MAX(A768-K768,0)</f>
        <v>376500</v>
      </c>
      <c r="M768" s="11" t="n">
        <f aca="false">SUMPRODUCT((L768&gt;'Tax Tables'!$A$5:$A$17)*(L768-'Tax Tables'!$A$5:$A$17)*'Tax Tables'!$C$5:$C$17)</f>
        <v>56980</v>
      </c>
      <c r="N768" s="11" t="n">
        <f aca="false">IF(H768&lt;0,-1E+099,A768-E768-M768+J768+(E768+F768)*Calculator!$B$9)</f>
        <v>341532.5</v>
      </c>
      <c r="O768" s="2"/>
      <c r="P768" s="11" t="n">
        <f aca="false">755*$B$3</f>
        <v>377500</v>
      </c>
      <c r="Q768" s="11" t="n">
        <f aca="false">MIN(P768,'Tax Tables'!$B$31*'Tax Tables'!$B$32)</f>
        <v>96000</v>
      </c>
      <c r="R768" s="11" t="n">
        <f aca="false">P768-Q768</f>
        <v>281500</v>
      </c>
      <c r="S768" s="11" t="n">
        <f aca="false">IF(Calculator!$B$6="Yes",MIN(Q768,'Tax Tables'!$B$31*'Tax Tables'!$B$32),0)</f>
        <v>96000</v>
      </c>
      <c r="T768" s="11" t="n">
        <f aca="false">S768*Calculator!$B$7</f>
        <v>19200</v>
      </c>
      <c r="U768" s="11" t="n">
        <f aca="false">S768*Calculator!$B$8</f>
        <v>16320</v>
      </c>
      <c r="V768" s="11" t="n">
        <f aca="false">IF(Q768&gt;0,'Tax Tables'!$B$32*MIN(MAX(Q768/'Tax Tables'!$B$32*'Tax Tables'!$B$33,'Tax Tables'!$B$34),'Tax Tables'!$B$35),0)</f>
        <v>135</v>
      </c>
      <c r="W768" s="11" t="n">
        <f aca="false">Calculator!$B$5-P768-U768-V768</f>
        <v>6045</v>
      </c>
      <c r="X768" s="11" t="n">
        <f aca="false">'Tax Tables'!$B$22*(MAX(W768,0)-IF(Calculator!$B$10="Yes",MIN(MAX(W768,0),'Tax Tables'!$B$27)*'Tax Tables'!$B$28+MIN(MAX(MAX(W768,0)-'Tax Tables'!$B$27,0),'Tax Tables'!$B$29)*'Tax Tables'!$B$30,MIN(MAX(W768,0),'Tax Tables'!$B$23)*'Tax Tables'!$B$24+MIN(MAX(MAX(W768,0)-'Tax Tables'!$B$23,0),'Tax Tables'!$B$25)*'Tax Tables'!$B$26))*1-MIN('Tax Tables'!$B$22*(MAX(W768,0)-IF(Calculator!$B$10="Yes",MIN(MAX(W768,0),'Tax Tables'!$B$27)*'Tax Tables'!$B$28+MIN(MAX(MAX(W768,0)-'Tax Tables'!$B$27,0),'Tax Tables'!$B$29)*'Tax Tables'!$B$30,MIN(MAX(W768,0),'Tax Tables'!$B$23)*'Tax Tables'!$B$24+MIN(MAX(MAX(W768,0)-'Tax Tables'!$B$23,0),'Tax Tables'!$B$25)*'Tax Tables'!$B$26))*Calculator!$B$11,Calculator!$B$12)</f>
        <v>256.9125</v>
      </c>
      <c r="Y768" s="11" t="n">
        <f aca="false">MAX(W768,0)-X768</f>
        <v>5788.0875</v>
      </c>
      <c r="Z768" s="11" t="n">
        <f aca="false">MIN(IF(P768&gt;0,Calculator!$B$13,0)+T768+Calculator!$B$14,'Tax Tables'!$B$36)</f>
        <v>20200</v>
      </c>
      <c r="AA768" s="11" t="n">
        <f aca="false">MAX(P768-Z768,0)</f>
        <v>357300</v>
      </c>
      <c r="AB768" s="11" t="n">
        <f aca="false">SUMPRODUCT((AA768&gt;'Tax Tables'!$A$5:$A$17)*(AA768-'Tax Tables'!$A$5:$A$17)*'Tax Tables'!$C$5:$C$17)</f>
        <v>52756</v>
      </c>
      <c r="AC768" s="11" t="n">
        <f aca="false">IF(W768&lt;0,-1E+099,P768-T768-AB768+Y768+(T768+U768)*Calculator!$B$9)</f>
        <v>346852.0875</v>
      </c>
    </row>
    <row r="769" customFormat="false" ht="15" hidden="false" customHeight="false" outlineLevel="0" collapsed="false">
      <c r="A769" s="11" t="n">
        <f aca="false">756*$B$3</f>
        <v>378000</v>
      </c>
      <c r="B769" s="11" t="n">
        <f aca="false">0</f>
        <v>0</v>
      </c>
      <c r="C769" s="11" t="n">
        <f aca="false">A769-B769</f>
        <v>378000</v>
      </c>
      <c r="D769" s="11" t="n">
        <f aca="false">IF(Calculator!$B$6="Yes",MIN(B769,'Tax Tables'!$B$31*'Tax Tables'!$B$32),0)</f>
        <v>0</v>
      </c>
      <c r="E769" s="11" t="n">
        <f aca="false">D769*Calculator!$B$7</f>
        <v>0</v>
      </c>
      <c r="F769" s="11" t="n">
        <f aca="false">D769*Calculator!$B$8</f>
        <v>0</v>
      </c>
      <c r="G769" s="11" t="n">
        <f aca="false">IF(B769&gt;0,'Tax Tables'!$B$32*MIN(MAX(B769/'Tax Tables'!$B$32*'Tax Tables'!$B$33,'Tax Tables'!$B$34),'Tax Tables'!$B$35),0)</f>
        <v>0</v>
      </c>
      <c r="H769" s="11" t="n">
        <f aca="false">Calculator!$B$5-A769-F769-G769</f>
        <v>22000</v>
      </c>
      <c r="I769" s="11" t="n">
        <f aca="false">'Tax Tables'!$B$22*(MAX(H769,0)-IF(Calculator!$B$10="Yes",MIN(MAX(H769,0),'Tax Tables'!$B$27)*'Tax Tables'!$B$28+MIN(MAX(MAX(H769,0)-'Tax Tables'!$B$27,0),'Tax Tables'!$B$29)*'Tax Tables'!$B$30,MIN(MAX(H769,0),'Tax Tables'!$B$23)*'Tax Tables'!$B$24+MIN(MAX(MAX(H769,0)-'Tax Tables'!$B$23,0),'Tax Tables'!$B$25)*'Tax Tables'!$B$26))*1-MIN('Tax Tables'!$B$22*(MAX(H769,0)-IF(Calculator!$B$10="Yes",MIN(MAX(H769,0),'Tax Tables'!$B$27)*'Tax Tables'!$B$28+MIN(MAX(MAX(H769,0)-'Tax Tables'!$B$27,0),'Tax Tables'!$B$29)*'Tax Tables'!$B$30,MIN(MAX(H769,0),'Tax Tables'!$B$23)*'Tax Tables'!$B$24+MIN(MAX(MAX(H769,0)-'Tax Tables'!$B$23,0),'Tax Tables'!$B$25)*'Tax Tables'!$B$26))*Calculator!$B$11,Calculator!$B$12)</f>
        <v>1445</v>
      </c>
      <c r="J769" s="11" t="n">
        <f aca="false">MAX(H769,0)-I769</f>
        <v>20555</v>
      </c>
      <c r="K769" s="11" t="n">
        <f aca="false">MIN(IF(A769&gt;0,Calculator!$B$13,0)+E769+Calculator!$B$14,'Tax Tables'!$B$36)</f>
        <v>1000</v>
      </c>
      <c r="L769" s="11" t="n">
        <f aca="false">MAX(A769-K769,0)</f>
        <v>377000</v>
      </c>
      <c r="M769" s="11" t="n">
        <f aca="false">SUMPRODUCT((L769&gt;'Tax Tables'!$A$5:$A$17)*(L769-'Tax Tables'!$A$5:$A$17)*'Tax Tables'!$C$5:$C$17)</f>
        <v>57090</v>
      </c>
      <c r="N769" s="11" t="n">
        <f aca="false">IF(H769&lt;0,-1E+099,A769-E769-M769+J769+(E769+F769)*Calculator!$B$9)</f>
        <v>341465</v>
      </c>
      <c r="O769" s="2"/>
      <c r="P769" s="11" t="n">
        <f aca="false">756*$B$3</f>
        <v>378000</v>
      </c>
      <c r="Q769" s="11" t="n">
        <f aca="false">MIN(P769,'Tax Tables'!$B$31*'Tax Tables'!$B$32)</f>
        <v>96000</v>
      </c>
      <c r="R769" s="11" t="n">
        <f aca="false">P769-Q769</f>
        <v>282000</v>
      </c>
      <c r="S769" s="11" t="n">
        <f aca="false">IF(Calculator!$B$6="Yes",MIN(Q769,'Tax Tables'!$B$31*'Tax Tables'!$B$32),0)</f>
        <v>96000</v>
      </c>
      <c r="T769" s="11" t="n">
        <f aca="false">S769*Calculator!$B$7</f>
        <v>19200</v>
      </c>
      <c r="U769" s="11" t="n">
        <f aca="false">S769*Calculator!$B$8</f>
        <v>16320</v>
      </c>
      <c r="V769" s="11" t="n">
        <f aca="false">IF(Q769&gt;0,'Tax Tables'!$B$32*MIN(MAX(Q769/'Tax Tables'!$B$32*'Tax Tables'!$B$33,'Tax Tables'!$B$34),'Tax Tables'!$B$35),0)</f>
        <v>135</v>
      </c>
      <c r="W769" s="11" t="n">
        <f aca="false">Calculator!$B$5-P769-U769-V769</f>
        <v>5545</v>
      </c>
      <c r="X769" s="11" t="n">
        <f aca="false">'Tax Tables'!$B$22*(MAX(W769,0)-IF(Calculator!$B$10="Yes",MIN(MAX(W769,0),'Tax Tables'!$B$27)*'Tax Tables'!$B$28+MIN(MAX(MAX(W769,0)-'Tax Tables'!$B$27,0),'Tax Tables'!$B$29)*'Tax Tables'!$B$30,MIN(MAX(W769,0),'Tax Tables'!$B$23)*'Tax Tables'!$B$24+MIN(MAX(MAX(W769,0)-'Tax Tables'!$B$23,0),'Tax Tables'!$B$25)*'Tax Tables'!$B$26))*1-MIN('Tax Tables'!$B$22*(MAX(W769,0)-IF(Calculator!$B$10="Yes",MIN(MAX(W769,0),'Tax Tables'!$B$27)*'Tax Tables'!$B$28+MIN(MAX(MAX(W769,0)-'Tax Tables'!$B$27,0),'Tax Tables'!$B$29)*'Tax Tables'!$B$30,MIN(MAX(W769,0),'Tax Tables'!$B$23)*'Tax Tables'!$B$24+MIN(MAX(MAX(W769,0)-'Tax Tables'!$B$23,0),'Tax Tables'!$B$25)*'Tax Tables'!$B$26))*Calculator!$B$11,Calculator!$B$12)</f>
        <v>235.6625</v>
      </c>
      <c r="Y769" s="11" t="n">
        <f aca="false">MAX(W769,0)-X769</f>
        <v>5309.3375</v>
      </c>
      <c r="Z769" s="11" t="n">
        <f aca="false">MIN(IF(P769&gt;0,Calculator!$B$13,0)+T769+Calculator!$B$14,'Tax Tables'!$B$36)</f>
        <v>20200</v>
      </c>
      <c r="AA769" s="11" t="n">
        <f aca="false">MAX(P769-Z769,0)</f>
        <v>357800</v>
      </c>
      <c r="AB769" s="11" t="n">
        <f aca="false">SUMPRODUCT((AA769&gt;'Tax Tables'!$A$5:$A$17)*(AA769-'Tax Tables'!$A$5:$A$17)*'Tax Tables'!$C$5:$C$17)</f>
        <v>52866</v>
      </c>
      <c r="AC769" s="11" t="n">
        <f aca="false">IF(W769&lt;0,-1E+099,P769-T769-AB769+Y769+(T769+U769)*Calculator!$B$9)</f>
        <v>346763.3375</v>
      </c>
    </row>
    <row r="770" customFormat="false" ht="15" hidden="false" customHeight="false" outlineLevel="0" collapsed="false">
      <c r="A770" s="11" t="n">
        <f aca="false">757*$B$3</f>
        <v>378500</v>
      </c>
      <c r="B770" s="11" t="n">
        <f aca="false">0</f>
        <v>0</v>
      </c>
      <c r="C770" s="11" t="n">
        <f aca="false">A770-B770</f>
        <v>378500</v>
      </c>
      <c r="D770" s="11" t="n">
        <f aca="false">IF(Calculator!$B$6="Yes",MIN(B770,'Tax Tables'!$B$31*'Tax Tables'!$B$32),0)</f>
        <v>0</v>
      </c>
      <c r="E770" s="11" t="n">
        <f aca="false">D770*Calculator!$B$7</f>
        <v>0</v>
      </c>
      <c r="F770" s="11" t="n">
        <f aca="false">D770*Calculator!$B$8</f>
        <v>0</v>
      </c>
      <c r="G770" s="11" t="n">
        <f aca="false">IF(B770&gt;0,'Tax Tables'!$B$32*MIN(MAX(B770/'Tax Tables'!$B$32*'Tax Tables'!$B$33,'Tax Tables'!$B$34),'Tax Tables'!$B$35),0)</f>
        <v>0</v>
      </c>
      <c r="H770" s="11" t="n">
        <f aca="false">Calculator!$B$5-A770-F770-G770</f>
        <v>21500</v>
      </c>
      <c r="I770" s="11" t="n">
        <f aca="false">'Tax Tables'!$B$22*(MAX(H770,0)-IF(Calculator!$B$10="Yes",MIN(MAX(H770,0),'Tax Tables'!$B$27)*'Tax Tables'!$B$28+MIN(MAX(MAX(H770,0)-'Tax Tables'!$B$27,0),'Tax Tables'!$B$29)*'Tax Tables'!$B$30,MIN(MAX(H770,0),'Tax Tables'!$B$23)*'Tax Tables'!$B$24+MIN(MAX(MAX(H770,0)-'Tax Tables'!$B$23,0),'Tax Tables'!$B$25)*'Tax Tables'!$B$26))*1-MIN('Tax Tables'!$B$22*(MAX(H770,0)-IF(Calculator!$B$10="Yes",MIN(MAX(H770,0),'Tax Tables'!$B$27)*'Tax Tables'!$B$28+MIN(MAX(MAX(H770,0)-'Tax Tables'!$B$27,0),'Tax Tables'!$B$29)*'Tax Tables'!$B$30,MIN(MAX(H770,0),'Tax Tables'!$B$23)*'Tax Tables'!$B$24+MIN(MAX(MAX(H770,0)-'Tax Tables'!$B$23,0),'Tax Tables'!$B$25)*'Tax Tables'!$B$26))*Calculator!$B$11,Calculator!$B$12)</f>
        <v>1402.5</v>
      </c>
      <c r="J770" s="11" t="n">
        <f aca="false">MAX(H770,0)-I770</f>
        <v>20097.5</v>
      </c>
      <c r="K770" s="11" t="n">
        <f aca="false">MIN(IF(A770&gt;0,Calculator!$B$13,0)+E770+Calculator!$B$14,'Tax Tables'!$B$36)</f>
        <v>1000</v>
      </c>
      <c r="L770" s="11" t="n">
        <f aca="false">MAX(A770-K770,0)</f>
        <v>377500</v>
      </c>
      <c r="M770" s="11" t="n">
        <f aca="false">SUMPRODUCT((L770&gt;'Tax Tables'!$A$5:$A$17)*(L770-'Tax Tables'!$A$5:$A$17)*'Tax Tables'!$C$5:$C$17)</f>
        <v>57200</v>
      </c>
      <c r="N770" s="11" t="n">
        <f aca="false">IF(H770&lt;0,-1E+099,A770-E770-M770+J770+(E770+F770)*Calculator!$B$9)</f>
        <v>341397.5</v>
      </c>
      <c r="O770" s="2"/>
      <c r="P770" s="11" t="n">
        <f aca="false">757*$B$3</f>
        <v>378500</v>
      </c>
      <c r="Q770" s="11" t="n">
        <f aca="false">MIN(P770,'Tax Tables'!$B$31*'Tax Tables'!$B$32)</f>
        <v>96000</v>
      </c>
      <c r="R770" s="11" t="n">
        <f aca="false">P770-Q770</f>
        <v>282500</v>
      </c>
      <c r="S770" s="11" t="n">
        <f aca="false">IF(Calculator!$B$6="Yes",MIN(Q770,'Tax Tables'!$B$31*'Tax Tables'!$B$32),0)</f>
        <v>96000</v>
      </c>
      <c r="T770" s="11" t="n">
        <f aca="false">S770*Calculator!$B$7</f>
        <v>19200</v>
      </c>
      <c r="U770" s="11" t="n">
        <f aca="false">S770*Calculator!$B$8</f>
        <v>16320</v>
      </c>
      <c r="V770" s="11" t="n">
        <f aca="false">IF(Q770&gt;0,'Tax Tables'!$B$32*MIN(MAX(Q770/'Tax Tables'!$B$32*'Tax Tables'!$B$33,'Tax Tables'!$B$34),'Tax Tables'!$B$35),0)</f>
        <v>135</v>
      </c>
      <c r="W770" s="11" t="n">
        <f aca="false">Calculator!$B$5-P770-U770-V770</f>
        <v>5045</v>
      </c>
      <c r="X770" s="11" t="n">
        <f aca="false">'Tax Tables'!$B$22*(MAX(W770,0)-IF(Calculator!$B$10="Yes",MIN(MAX(W770,0),'Tax Tables'!$B$27)*'Tax Tables'!$B$28+MIN(MAX(MAX(W770,0)-'Tax Tables'!$B$27,0),'Tax Tables'!$B$29)*'Tax Tables'!$B$30,MIN(MAX(W770,0),'Tax Tables'!$B$23)*'Tax Tables'!$B$24+MIN(MAX(MAX(W770,0)-'Tax Tables'!$B$23,0),'Tax Tables'!$B$25)*'Tax Tables'!$B$26))*1-MIN('Tax Tables'!$B$22*(MAX(W770,0)-IF(Calculator!$B$10="Yes",MIN(MAX(W770,0),'Tax Tables'!$B$27)*'Tax Tables'!$B$28+MIN(MAX(MAX(W770,0)-'Tax Tables'!$B$27,0),'Tax Tables'!$B$29)*'Tax Tables'!$B$30,MIN(MAX(W770,0),'Tax Tables'!$B$23)*'Tax Tables'!$B$24+MIN(MAX(MAX(W770,0)-'Tax Tables'!$B$23,0),'Tax Tables'!$B$25)*'Tax Tables'!$B$26))*Calculator!$B$11,Calculator!$B$12)</f>
        <v>214.4125</v>
      </c>
      <c r="Y770" s="11" t="n">
        <f aca="false">MAX(W770,0)-X770</f>
        <v>4830.5875</v>
      </c>
      <c r="Z770" s="11" t="n">
        <f aca="false">MIN(IF(P770&gt;0,Calculator!$B$13,0)+T770+Calculator!$B$14,'Tax Tables'!$B$36)</f>
        <v>20200</v>
      </c>
      <c r="AA770" s="11" t="n">
        <f aca="false">MAX(P770-Z770,0)</f>
        <v>358300</v>
      </c>
      <c r="AB770" s="11" t="n">
        <f aca="false">SUMPRODUCT((AA770&gt;'Tax Tables'!$A$5:$A$17)*(AA770-'Tax Tables'!$A$5:$A$17)*'Tax Tables'!$C$5:$C$17)</f>
        <v>52976</v>
      </c>
      <c r="AC770" s="11" t="n">
        <f aca="false">IF(W770&lt;0,-1E+099,P770-T770-AB770+Y770+(T770+U770)*Calculator!$B$9)</f>
        <v>346674.5875</v>
      </c>
    </row>
    <row r="771" customFormat="false" ht="15" hidden="false" customHeight="false" outlineLevel="0" collapsed="false">
      <c r="A771" s="11" t="n">
        <f aca="false">758*$B$3</f>
        <v>379000</v>
      </c>
      <c r="B771" s="11" t="n">
        <f aca="false">0</f>
        <v>0</v>
      </c>
      <c r="C771" s="11" t="n">
        <f aca="false">A771-B771</f>
        <v>379000</v>
      </c>
      <c r="D771" s="11" t="n">
        <f aca="false">IF(Calculator!$B$6="Yes",MIN(B771,'Tax Tables'!$B$31*'Tax Tables'!$B$32),0)</f>
        <v>0</v>
      </c>
      <c r="E771" s="11" t="n">
        <f aca="false">D771*Calculator!$B$7</f>
        <v>0</v>
      </c>
      <c r="F771" s="11" t="n">
        <f aca="false">D771*Calculator!$B$8</f>
        <v>0</v>
      </c>
      <c r="G771" s="11" t="n">
        <f aca="false">IF(B771&gt;0,'Tax Tables'!$B$32*MIN(MAX(B771/'Tax Tables'!$B$32*'Tax Tables'!$B$33,'Tax Tables'!$B$34),'Tax Tables'!$B$35),0)</f>
        <v>0</v>
      </c>
      <c r="H771" s="11" t="n">
        <f aca="false">Calculator!$B$5-A771-F771-G771</f>
        <v>21000</v>
      </c>
      <c r="I771" s="11" t="n">
        <f aca="false">'Tax Tables'!$B$22*(MAX(H771,0)-IF(Calculator!$B$10="Yes",MIN(MAX(H771,0),'Tax Tables'!$B$27)*'Tax Tables'!$B$28+MIN(MAX(MAX(H771,0)-'Tax Tables'!$B$27,0),'Tax Tables'!$B$29)*'Tax Tables'!$B$30,MIN(MAX(H771,0),'Tax Tables'!$B$23)*'Tax Tables'!$B$24+MIN(MAX(MAX(H771,0)-'Tax Tables'!$B$23,0),'Tax Tables'!$B$25)*'Tax Tables'!$B$26))*1-MIN('Tax Tables'!$B$22*(MAX(H771,0)-IF(Calculator!$B$10="Yes",MIN(MAX(H771,0),'Tax Tables'!$B$27)*'Tax Tables'!$B$28+MIN(MAX(MAX(H771,0)-'Tax Tables'!$B$27,0),'Tax Tables'!$B$29)*'Tax Tables'!$B$30,MIN(MAX(H771,0),'Tax Tables'!$B$23)*'Tax Tables'!$B$24+MIN(MAX(MAX(H771,0)-'Tax Tables'!$B$23,0),'Tax Tables'!$B$25)*'Tax Tables'!$B$26))*Calculator!$B$11,Calculator!$B$12)</f>
        <v>1360</v>
      </c>
      <c r="J771" s="11" t="n">
        <f aca="false">MAX(H771,0)-I771</f>
        <v>19640</v>
      </c>
      <c r="K771" s="11" t="n">
        <f aca="false">MIN(IF(A771&gt;0,Calculator!$B$13,0)+E771+Calculator!$B$14,'Tax Tables'!$B$36)</f>
        <v>1000</v>
      </c>
      <c r="L771" s="11" t="n">
        <f aca="false">MAX(A771-K771,0)</f>
        <v>378000</v>
      </c>
      <c r="M771" s="11" t="n">
        <f aca="false">SUMPRODUCT((L771&gt;'Tax Tables'!$A$5:$A$17)*(L771-'Tax Tables'!$A$5:$A$17)*'Tax Tables'!$C$5:$C$17)</f>
        <v>57310</v>
      </c>
      <c r="N771" s="11" t="n">
        <f aca="false">IF(H771&lt;0,-1E+099,A771-E771-M771+J771+(E771+F771)*Calculator!$B$9)</f>
        <v>341330</v>
      </c>
      <c r="O771" s="2"/>
      <c r="P771" s="11" t="n">
        <f aca="false">758*$B$3</f>
        <v>379000</v>
      </c>
      <c r="Q771" s="11" t="n">
        <f aca="false">MIN(P771,'Tax Tables'!$B$31*'Tax Tables'!$B$32)</f>
        <v>96000</v>
      </c>
      <c r="R771" s="11" t="n">
        <f aca="false">P771-Q771</f>
        <v>283000</v>
      </c>
      <c r="S771" s="11" t="n">
        <f aca="false">IF(Calculator!$B$6="Yes",MIN(Q771,'Tax Tables'!$B$31*'Tax Tables'!$B$32),0)</f>
        <v>96000</v>
      </c>
      <c r="T771" s="11" t="n">
        <f aca="false">S771*Calculator!$B$7</f>
        <v>19200</v>
      </c>
      <c r="U771" s="11" t="n">
        <f aca="false">S771*Calculator!$B$8</f>
        <v>16320</v>
      </c>
      <c r="V771" s="11" t="n">
        <f aca="false">IF(Q771&gt;0,'Tax Tables'!$B$32*MIN(MAX(Q771/'Tax Tables'!$B$32*'Tax Tables'!$B$33,'Tax Tables'!$B$34),'Tax Tables'!$B$35),0)</f>
        <v>135</v>
      </c>
      <c r="W771" s="11" t="n">
        <f aca="false">Calculator!$B$5-P771-U771-V771</f>
        <v>4545</v>
      </c>
      <c r="X771" s="11" t="n">
        <f aca="false">'Tax Tables'!$B$22*(MAX(W771,0)-IF(Calculator!$B$10="Yes",MIN(MAX(W771,0),'Tax Tables'!$B$27)*'Tax Tables'!$B$28+MIN(MAX(MAX(W771,0)-'Tax Tables'!$B$27,0),'Tax Tables'!$B$29)*'Tax Tables'!$B$30,MIN(MAX(W771,0),'Tax Tables'!$B$23)*'Tax Tables'!$B$24+MIN(MAX(MAX(W771,0)-'Tax Tables'!$B$23,0),'Tax Tables'!$B$25)*'Tax Tables'!$B$26))*1-MIN('Tax Tables'!$B$22*(MAX(W771,0)-IF(Calculator!$B$10="Yes",MIN(MAX(W771,0),'Tax Tables'!$B$27)*'Tax Tables'!$B$28+MIN(MAX(MAX(W771,0)-'Tax Tables'!$B$27,0),'Tax Tables'!$B$29)*'Tax Tables'!$B$30,MIN(MAX(W771,0),'Tax Tables'!$B$23)*'Tax Tables'!$B$24+MIN(MAX(MAX(W771,0)-'Tax Tables'!$B$23,0),'Tax Tables'!$B$25)*'Tax Tables'!$B$26))*Calculator!$B$11,Calculator!$B$12)</f>
        <v>193.1625</v>
      </c>
      <c r="Y771" s="11" t="n">
        <f aca="false">MAX(W771,0)-X771</f>
        <v>4351.8375</v>
      </c>
      <c r="Z771" s="11" t="n">
        <f aca="false">MIN(IF(P771&gt;0,Calculator!$B$13,0)+T771+Calculator!$B$14,'Tax Tables'!$B$36)</f>
        <v>20200</v>
      </c>
      <c r="AA771" s="11" t="n">
        <f aca="false">MAX(P771-Z771,0)</f>
        <v>358800</v>
      </c>
      <c r="AB771" s="11" t="n">
        <f aca="false">SUMPRODUCT((AA771&gt;'Tax Tables'!$A$5:$A$17)*(AA771-'Tax Tables'!$A$5:$A$17)*'Tax Tables'!$C$5:$C$17)</f>
        <v>53086</v>
      </c>
      <c r="AC771" s="11" t="n">
        <f aca="false">IF(W771&lt;0,-1E+099,P771-T771-AB771+Y771+(T771+U771)*Calculator!$B$9)</f>
        <v>346585.8375</v>
      </c>
    </row>
    <row r="772" customFormat="false" ht="15" hidden="false" customHeight="false" outlineLevel="0" collapsed="false">
      <c r="A772" s="11" t="n">
        <f aca="false">759*$B$3</f>
        <v>379500</v>
      </c>
      <c r="B772" s="11" t="n">
        <f aca="false">0</f>
        <v>0</v>
      </c>
      <c r="C772" s="11" t="n">
        <f aca="false">A772-B772</f>
        <v>379500</v>
      </c>
      <c r="D772" s="11" t="n">
        <f aca="false">IF(Calculator!$B$6="Yes",MIN(B772,'Tax Tables'!$B$31*'Tax Tables'!$B$32),0)</f>
        <v>0</v>
      </c>
      <c r="E772" s="11" t="n">
        <f aca="false">D772*Calculator!$B$7</f>
        <v>0</v>
      </c>
      <c r="F772" s="11" t="n">
        <f aca="false">D772*Calculator!$B$8</f>
        <v>0</v>
      </c>
      <c r="G772" s="11" t="n">
        <f aca="false">IF(B772&gt;0,'Tax Tables'!$B$32*MIN(MAX(B772/'Tax Tables'!$B$32*'Tax Tables'!$B$33,'Tax Tables'!$B$34),'Tax Tables'!$B$35),0)</f>
        <v>0</v>
      </c>
      <c r="H772" s="11" t="n">
        <f aca="false">Calculator!$B$5-A772-F772-G772</f>
        <v>20500</v>
      </c>
      <c r="I772" s="11" t="n">
        <f aca="false">'Tax Tables'!$B$22*(MAX(H772,0)-IF(Calculator!$B$10="Yes",MIN(MAX(H772,0),'Tax Tables'!$B$27)*'Tax Tables'!$B$28+MIN(MAX(MAX(H772,0)-'Tax Tables'!$B$27,0),'Tax Tables'!$B$29)*'Tax Tables'!$B$30,MIN(MAX(H772,0),'Tax Tables'!$B$23)*'Tax Tables'!$B$24+MIN(MAX(MAX(H772,0)-'Tax Tables'!$B$23,0),'Tax Tables'!$B$25)*'Tax Tables'!$B$26))*1-MIN('Tax Tables'!$B$22*(MAX(H772,0)-IF(Calculator!$B$10="Yes",MIN(MAX(H772,0),'Tax Tables'!$B$27)*'Tax Tables'!$B$28+MIN(MAX(MAX(H772,0)-'Tax Tables'!$B$27,0),'Tax Tables'!$B$29)*'Tax Tables'!$B$30,MIN(MAX(H772,0),'Tax Tables'!$B$23)*'Tax Tables'!$B$24+MIN(MAX(MAX(H772,0)-'Tax Tables'!$B$23,0),'Tax Tables'!$B$25)*'Tax Tables'!$B$26))*Calculator!$B$11,Calculator!$B$12)</f>
        <v>1317.5</v>
      </c>
      <c r="J772" s="11" t="n">
        <f aca="false">MAX(H772,0)-I772</f>
        <v>19182.5</v>
      </c>
      <c r="K772" s="11" t="n">
        <f aca="false">MIN(IF(A772&gt;0,Calculator!$B$13,0)+E772+Calculator!$B$14,'Tax Tables'!$B$36)</f>
        <v>1000</v>
      </c>
      <c r="L772" s="11" t="n">
        <f aca="false">MAX(A772-K772,0)</f>
        <v>378500</v>
      </c>
      <c r="M772" s="11" t="n">
        <f aca="false">SUMPRODUCT((L772&gt;'Tax Tables'!$A$5:$A$17)*(L772-'Tax Tables'!$A$5:$A$17)*'Tax Tables'!$C$5:$C$17)</f>
        <v>57420</v>
      </c>
      <c r="N772" s="11" t="n">
        <f aca="false">IF(H772&lt;0,-1E+099,A772-E772-M772+J772+(E772+F772)*Calculator!$B$9)</f>
        <v>341262.5</v>
      </c>
      <c r="O772" s="2"/>
      <c r="P772" s="11" t="n">
        <f aca="false">759*$B$3</f>
        <v>379500</v>
      </c>
      <c r="Q772" s="11" t="n">
        <f aca="false">MIN(P772,'Tax Tables'!$B$31*'Tax Tables'!$B$32)</f>
        <v>96000</v>
      </c>
      <c r="R772" s="11" t="n">
        <f aca="false">P772-Q772</f>
        <v>283500</v>
      </c>
      <c r="S772" s="11" t="n">
        <f aca="false">IF(Calculator!$B$6="Yes",MIN(Q772,'Tax Tables'!$B$31*'Tax Tables'!$B$32),0)</f>
        <v>96000</v>
      </c>
      <c r="T772" s="11" t="n">
        <f aca="false">S772*Calculator!$B$7</f>
        <v>19200</v>
      </c>
      <c r="U772" s="11" t="n">
        <f aca="false">S772*Calculator!$B$8</f>
        <v>16320</v>
      </c>
      <c r="V772" s="11" t="n">
        <f aca="false">IF(Q772&gt;0,'Tax Tables'!$B$32*MIN(MAX(Q772/'Tax Tables'!$B$32*'Tax Tables'!$B$33,'Tax Tables'!$B$34),'Tax Tables'!$B$35),0)</f>
        <v>135</v>
      </c>
      <c r="W772" s="11" t="n">
        <f aca="false">Calculator!$B$5-P772-U772-V772</f>
        <v>4045</v>
      </c>
      <c r="X772" s="11" t="n">
        <f aca="false">'Tax Tables'!$B$22*(MAX(W772,0)-IF(Calculator!$B$10="Yes",MIN(MAX(W772,0),'Tax Tables'!$B$27)*'Tax Tables'!$B$28+MIN(MAX(MAX(W772,0)-'Tax Tables'!$B$27,0),'Tax Tables'!$B$29)*'Tax Tables'!$B$30,MIN(MAX(W772,0),'Tax Tables'!$B$23)*'Tax Tables'!$B$24+MIN(MAX(MAX(W772,0)-'Tax Tables'!$B$23,0),'Tax Tables'!$B$25)*'Tax Tables'!$B$26))*1-MIN('Tax Tables'!$B$22*(MAX(W772,0)-IF(Calculator!$B$10="Yes",MIN(MAX(W772,0),'Tax Tables'!$B$27)*'Tax Tables'!$B$28+MIN(MAX(MAX(W772,0)-'Tax Tables'!$B$27,0),'Tax Tables'!$B$29)*'Tax Tables'!$B$30,MIN(MAX(W772,0),'Tax Tables'!$B$23)*'Tax Tables'!$B$24+MIN(MAX(MAX(W772,0)-'Tax Tables'!$B$23,0),'Tax Tables'!$B$25)*'Tax Tables'!$B$26))*Calculator!$B$11,Calculator!$B$12)</f>
        <v>171.9125</v>
      </c>
      <c r="Y772" s="11" t="n">
        <f aca="false">MAX(W772,0)-X772</f>
        <v>3873.0875</v>
      </c>
      <c r="Z772" s="11" t="n">
        <f aca="false">MIN(IF(P772&gt;0,Calculator!$B$13,0)+T772+Calculator!$B$14,'Tax Tables'!$B$36)</f>
        <v>20200</v>
      </c>
      <c r="AA772" s="11" t="n">
        <f aca="false">MAX(P772-Z772,0)</f>
        <v>359300</v>
      </c>
      <c r="AB772" s="11" t="n">
        <f aca="false">SUMPRODUCT((AA772&gt;'Tax Tables'!$A$5:$A$17)*(AA772-'Tax Tables'!$A$5:$A$17)*'Tax Tables'!$C$5:$C$17)</f>
        <v>53196</v>
      </c>
      <c r="AC772" s="11" t="n">
        <f aca="false">IF(W772&lt;0,-1E+099,P772-T772-AB772+Y772+(T772+U772)*Calculator!$B$9)</f>
        <v>346497.0875</v>
      </c>
    </row>
    <row r="773" customFormat="false" ht="15" hidden="false" customHeight="false" outlineLevel="0" collapsed="false">
      <c r="A773" s="11" t="n">
        <f aca="false">760*$B$3</f>
        <v>380000</v>
      </c>
      <c r="B773" s="11" t="n">
        <f aca="false">0</f>
        <v>0</v>
      </c>
      <c r="C773" s="11" t="n">
        <f aca="false">A773-B773</f>
        <v>380000</v>
      </c>
      <c r="D773" s="11" t="n">
        <f aca="false">IF(Calculator!$B$6="Yes",MIN(B773,'Tax Tables'!$B$31*'Tax Tables'!$B$32),0)</f>
        <v>0</v>
      </c>
      <c r="E773" s="11" t="n">
        <f aca="false">D773*Calculator!$B$7</f>
        <v>0</v>
      </c>
      <c r="F773" s="11" t="n">
        <f aca="false">D773*Calculator!$B$8</f>
        <v>0</v>
      </c>
      <c r="G773" s="11" t="n">
        <f aca="false">IF(B773&gt;0,'Tax Tables'!$B$32*MIN(MAX(B773/'Tax Tables'!$B$32*'Tax Tables'!$B$33,'Tax Tables'!$B$34),'Tax Tables'!$B$35),0)</f>
        <v>0</v>
      </c>
      <c r="H773" s="11" t="n">
        <f aca="false">Calculator!$B$5-A773-F773-G773</f>
        <v>20000</v>
      </c>
      <c r="I773" s="11" t="n">
        <f aca="false">'Tax Tables'!$B$22*(MAX(H773,0)-IF(Calculator!$B$10="Yes",MIN(MAX(H773,0),'Tax Tables'!$B$27)*'Tax Tables'!$B$28+MIN(MAX(MAX(H773,0)-'Tax Tables'!$B$27,0),'Tax Tables'!$B$29)*'Tax Tables'!$B$30,MIN(MAX(H773,0),'Tax Tables'!$B$23)*'Tax Tables'!$B$24+MIN(MAX(MAX(H773,0)-'Tax Tables'!$B$23,0),'Tax Tables'!$B$25)*'Tax Tables'!$B$26))*1-MIN('Tax Tables'!$B$22*(MAX(H773,0)-IF(Calculator!$B$10="Yes",MIN(MAX(H773,0),'Tax Tables'!$B$27)*'Tax Tables'!$B$28+MIN(MAX(MAX(H773,0)-'Tax Tables'!$B$27,0),'Tax Tables'!$B$29)*'Tax Tables'!$B$30,MIN(MAX(H773,0),'Tax Tables'!$B$23)*'Tax Tables'!$B$24+MIN(MAX(MAX(H773,0)-'Tax Tables'!$B$23,0),'Tax Tables'!$B$25)*'Tax Tables'!$B$26))*Calculator!$B$11,Calculator!$B$12)</f>
        <v>1275</v>
      </c>
      <c r="J773" s="11" t="n">
        <f aca="false">MAX(H773,0)-I773</f>
        <v>18725</v>
      </c>
      <c r="K773" s="11" t="n">
        <f aca="false">MIN(IF(A773&gt;0,Calculator!$B$13,0)+E773+Calculator!$B$14,'Tax Tables'!$B$36)</f>
        <v>1000</v>
      </c>
      <c r="L773" s="11" t="n">
        <f aca="false">MAX(A773-K773,0)</f>
        <v>379000</v>
      </c>
      <c r="M773" s="11" t="n">
        <f aca="false">SUMPRODUCT((L773&gt;'Tax Tables'!$A$5:$A$17)*(L773-'Tax Tables'!$A$5:$A$17)*'Tax Tables'!$C$5:$C$17)</f>
        <v>57530</v>
      </c>
      <c r="N773" s="11" t="n">
        <f aca="false">IF(H773&lt;0,-1E+099,A773-E773-M773+J773+(E773+F773)*Calculator!$B$9)</f>
        <v>341195</v>
      </c>
      <c r="O773" s="2"/>
      <c r="P773" s="11" t="n">
        <f aca="false">760*$B$3</f>
        <v>380000</v>
      </c>
      <c r="Q773" s="11" t="n">
        <f aca="false">MIN(P773,'Tax Tables'!$B$31*'Tax Tables'!$B$32)</f>
        <v>96000</v>
      </c>
      <c r="R773" s="11" t="n">
        <f aca="false">P773-Q773</f>
        <v>284000</v>
      </c>
      <c r="S773" s="11" t="n">
        <f aca="false">IF(Calculator!$B$6="Yes",MIN(Q773,'Tax Tables'!$B$31*'Tax Tables'!$B$32),0)</f>
        <v>96000</v>
      </c>
      <c r="T773" s="11" t="n">
        <f aca="false">S773*Calculator!$B$7</f>
        <v>19200</v>
      </c>
      <c r="U773" s="11" t="n">
        <f aca="false">S773*Calculator!$B$8</f>
        <v>16320</v>
      </c>
      <c r="V773" s="11" t="n">
        <f aca="false">IF(Q773&gt;0,'Tax Tables'!$B$32*MIN(MAX(Q773/'Tax Tables'!$B$32*'Tax Tables'!$B$33,'Tax Tables'!$B$34),'Tax Tables'!$B$35),0)</f>
        <v>135</v>
      </c>
      <c r="W773" s="11" t="n">
        <f aca="false">Calculator!$B$5-P773-U773-V773</f>
        <v>3545</v>
      </c>
      <c r="X773" s="11" t="n">
        <f aca="false">'Tax Tables'!$B$22*(MAX(W773,0)-IF(Calculator!$B$10="Yes",MIN(MAX(W773,0),'Tax Tables'!$B$27)*'Tax Tables'!$B$28+MIN(MAX(MAX(W773,0)-'Tax Tables'!$B$27,0),'Tax Tables'!$B$29)*'Tax Tables'!$B$30,MIN(MAX(W773,0),'Tax Tables'!$B$23)*'Tax Tables'!$B$24+MIN(MAX(MAX(W773,0)-'Tax Tables'!$B$23,0),'Tax Tables'!$B$25)*'Tax Tables'!$B$26))*1-MIN('Tax Tables'!$B$22*(MAX(W773,0)-IF(Calculator!$B$10="Yes",MIN(MAX(W773,0),'Tax Tables'!$B$27)*'Tax Tables'!$B$28+MIN(MAX(MAX(W773,0)-'Tax Tables'!$B$27,0),'Tax Tables'!$B$29)*'Tax Tables'!$B$30,MIN(MAX(W773,0),'Tax Tables'!$B$23)*'Tax Tables'!$B$24+MIN(MAX(MAX(W773,0)-'Tax Tables'!$B$23,0),'Tax Tables'!$B$25)*'Tax Tables'!$B$26))*Calculator!$B$11,Calculator!$B$12)</f>
        <v>150.6625</v>
      </c>
      <c r="Y773" s="11" t="n">
        <f aca="false">MAX(W773,0)-X773</f>
        <v>3394.3375</v>
      </c>
      <c r="Z773" s="11" t="n">
        <f aca="false">MIN(IF(P773&gt;0,Calculator!$B$13,0)+T773+Calculator!$B$14,'Tax Tables'!$B$36)</f>
        <v>20200</v>
      </c>
      <c r="AA773" s="11" t="n">
        <f aca="false">MAX(P773-Z773,0)</f>
        <v>359800</v>
      </c>
      <c r="AB773" s="11" t="n">
        <f aca="false">SUMPRODUCT((AA773&gt;'Tax Tables'!$A$5:$A$17)*(AA773-'Tax Tables'!$A$5:$A$17)*'Tax Tables'!$C$5:$C$17)</f>
        <v>53306</v>
      </c>
      <c r="AC773" s="11" t="n">
        <f aca="false">IF(W773&lt;0,-1E+099,P773-T773-AB773+Y773+(T773+U773)*Calculator!$B$9)</f>
        <v>346408.3375</v>
      </c>
    </row>
    <row r="774" customFormat="false" ht="15" hidden="false" customHeight="false" outlineLevel="0" collapsed="false">
      <c r="A774" s="11" t="n">
        <f aca="false">761*$B$3</f>
        <v>380500</v>
      </c>
      <c r="B774" s="11" t="n">
        <f aca="false">0</f>
        <v>0</v>
      </c>
      <c r="C774" s="11" t="n">
        <f aca="false">A774-B774</f>
        <v>380500</v>
      </c>
      <c r="D774" s="11" t="n">
        <f aca="false">IF(Calculator!$B$6="Yes",MIN(B774,'Tax Tables'!$B$31*'Tax Tables'!$B$32),0)</f>
        <v>0</v>
      </c>
      <c r="E774" s="11" t="n">
        <f aca="false">D774*Calculator!$B$7</f>
        <v>0</v>
      </c>
      <c r="F774" s="11" t="n">
        <f aca="false">D774*Calculator!$B$8</f>
        <v>0</v>
      </c>
      <c r="G774" s="11" t="n">
        <f aca="false">IF(B774&gt;0,'Tax Tables'!$B$32*MIN(MAX(B774/'Tax Tables'!$B$32*'Tax Tables'!$B$33,'Tax Tables'!$B$34),'Tax Tables'!$B$35),0)</f>
        <v>0</v>
      </c>
      <c r="H774" s="11" t="n">
        <f aca="false">Calculator!$B$5-A774-F774-G774</f>
        <v>19500</v>
      </c>
      <c r="I774" s="11" t="n">
        <f aca="false">'Tax Tables'!$B$22*(MAX(H774,0)-IF(Calculator!$B$10="Yes",MIN(MAX(H774,0),'Tax Tables'!$B$27)*'Tax Tables'!$B$28+MIN(MAX(MAX(H774,0)-'Tax Tables'!$B$27,0),'Tax Tables'!$B$29)*'Tax Tables'!$B$30,MIN(MAX(H774,0),'Tax Tables'!$B$23)*'Tax Tables'!$B$24+MIN(MAX(MAX(H774,0)-'Tax Tables'!$B$23,0),'Tax Tables'!$B$25)*'Tax Tables'!$B$26))*1-MIN('Tax Tables'!$B$22*(MAX(H774,0)-IF(Calculator!$B$10="Yes",MIN(MAX(H774,0),'Tax Tables'!$B$27)*'Tax Tables'!$B$28+MIN(MAX(MAX(H774,0)-'Tax Tables'!$B$27,0),'Tax Tables'!$B$29)*'Tax Tables'!$B$30,MIN(MAX(H774,0),'Tax Tables'!$B$23)*'Tax Tables'!$B$24+MIN(MAX(MAX(H774,0)-'Tax Tables'!$B$23,0),'Tax Tables'!$B$25)*'Tax Tables'!$B$26))*Calculator!$B$11,Calculator!$B$12)</f>
        <v>1232.5</v>
      </c>
      <c r="J774" s="11" t="n">
        <f aca="false">MAX(H774,0)-I774</f>
        <v>18267.5</v>
      </c>
      <c r="K774" s="11" t="n">
        <f aca="false">MIN(IF(A774&gt;0,Calculator!$B$13,0)+E774+Calculator!$B$14,'Tax Tables'!$B$36)</f>
        <v>1000</v>
      </c>
      <c r="L774" s="11" t="n">
        <f aca="false">MAX(A774-K774,0)</f>
        <v>379500</v>
      </c>
      <c r="M774" s="11" t="n">
        <f aca="false">SUMPRODUCT((L774&gt;'Tax Tables'!$A$5:$A$17)*(L774-'Tax Tables'!$A$5:$A$17)*'Tax Tables'!$C$5:$C$17)</f>
        <v>57640</v>
      </c>
      <c r="N774" s="11" t="n">
        <f aca="false">IF(H774&lt;0,-1E+099,A774-E774-M774+J774+(E774+F774)*Calculator!$B$9)</f>
        <v>341127.5</v>
      </c>
      <c r="O774" s="2"/>
      <c r="P774" s="11" t="n">
        <f aca="false">761*$B$3</f>
        <v>380500</v>
      </c>
      <c r="Q774" s="11" t="n">
        <f aca="false">MIN(P774,'Tax Tables'!$B$31*'Tax Tables'!$B$32)</f>
        <v>96000</v>
      </c>
      <c r="R774" s="11" t="n">
        <f aca="false">P774-Q774</f>
        <v>284500</v>
      </c>
      <c r="S774" s="11" t="n">
        <f aca="false">IF(Calculator!$B$6="Yes",MIN(Q774,'Tax Tables'!$B$31*'Tax Tables'!$B$32),0)</f>
        <v>96000</v>
      </c>
      <c r="T774" s="11" t="n">
        <f aca="false">S774*Calculator!$B$7</f>
        <v>19200</v>
      </c>
      <c r="U774" s="11" t="n">
        <f aca="false">S774*Calculator!$B$8</f>
        <v>16320</v>
      </c>
      <c r="V774" s="11" t="n">
        <f aca="false">IF(Q774&gt;0,'Tax Tables'!$B$32*MIN(MAX(Q774/'Tax Tables'!$B$32*'Tax Tables'!$B$33,'Tax Tables'!$B$34),'Tax Tables'!$B$35),0)</f>
        <v>135</v>
      </c>
      <c r="W774" s="11" t="n">
        <f aca="false">Calculator!$B$5-P774-U774-V774</f>
        <v>3045</v>
      </c>
      <c r="X774" s="11" t="n">
        <f aca="false">'Tax Tables'!$B$22*(MAX(W774,0)-IF(Calculator!$B$10="Yes",MIN(MAX(W774,0),'Tax Tables'!$B$27)*'Tax Tables'!$B$28+MIN(MAX(MAX(W774,0)-'Tax Tables'!$B$27,0),'Tax Tables'!$B$29)*'Tax Tables'!$B$30,MIN(MAX(W774,0),'Tax Tables'!$B$23)*'Tax Tables'!$B$24+MIN(MAX(MAX(W774,0)-'Tax Tables'!$B$23,0),'Tax Tables'!$B$25)*'Tax Tables'!$B$26))*1-MIN('Tax Tables'!$B$22*(MAX(W774,0)-IF(Calculator!$B$10="Yes",MIN(MAX(W774,0),'Tax Tables'!$B$27)*'Tax Tables'!$B$28+MIN(MAX(MAX(W774,0)-'Tax Tables'!$B$27,0),'Tax Tables'!$B$29)*'Tax Tables'!$B$30,MIN(MAX(W774,0),'Tax Tables'!$B$23)*'Tax Tables'!$B$24+MIN(MAX(MAX(W774,0)-'Tax Tables'!$B$23,0),'Tax Tables'!$B$25)*'Tax Tables'!$B$26))*Calculator!$B$11,Calculator!$B$12)</f>
        <v>129.4125</v>
      </c>
      <c r="Y774" s="11" t="n">
        <f aca="false">MAX(W774,0)-X774</f>
        <v>2915.5875</v>
      </c>
      <c r="Z774" s="11" t="n">
        <f aca="false">MIN(IF(P774&gt;0,Calculator!$B$13,0)+T774+Calculator!$B$14,'Tax Tables'!$B$36)</f>
        <v>20200</v>
      </c>
      <c r="AA774" s="11" t="n">
        <f aca="false">MAX(P774-Z774,0)</f>
        <v>360300</v>
      </c>
      <c r="AB774" s="11" t="n">
        <f aca="false">SUMPRODUCT((AA774&gt;'Tax Tables'!$A$5:$A$17)*(AA774-'Tax Tables'!$A$5:$A$17)*'Tax Tables'!$C$5:$C$17)</f>
        <v>53416</v>
      </c>
      <c r="AC774" s="11" t="n">
        <f aca="false">IF(W774&lt;0,-1E+099,P774-T774-AB774+Y774+(T774+U774)*Calculator!$B$9)</f>
        <v>346319.5875</v>
      </c>
    </row>
    <row r="775" customFormat="false" ht="15" hidden="false" customHeight="false" outlineLevel="0" collapsed="false">
      <c r="A775" s="11" t="n">
        <f aca="false">762*$B$3</f>
        <v>381000</v>
      </c>
      <c r="B775" s="11" t="n">
        <f aca="false">0</f>
        <v>0</v>
      </c>
      <c r="C775" s="11" t="n">
        <f aca="false">A775-B775</f>
        <v>381000</v>
      </c>
      <c r="D775" s="11" t="n">
        <f aca="false">IF(Calculator!$B$6="Yes",MIN(B775,'Tax Tables'!$B$31*'Tax Tables'!$B$32),0)</f>
        <v>0</v>
      </c>
      <c r="E775" s="11" t="n">
        <f aca="false">D775*Calculator!$B$7</f>
        <v>0</v>
      </c>
      <c r="F775" s="11" t="n">
        <f aca="false">D775*Calculator!$B$8</f>
        <v>0</v>
      </c>
      <c r="G775" s="11" t="n">
        <f aca="false">IF(B775&gt;0,'Tax Tables'!$B$32*MIN(MAX(B775/'Tax Tables'!$B$32*'Tax Tables'!$B$33,'Tax Tables'!$B$34),'Tax Tables'!$B$35),0)</f>
        <v>0</v>
      </c>
      <c r="H775" s="11" t="n">
        <f aca="false">Calculator!$B$5-A775-F775-G775</f>
        <v>19000</v>
      </c>
      <c r="I775" s="11" t="n">
        <f aca="false">'Tax Tables'!$B$22*(MAX(H775,0)-IF(Calculator!$B$10="Yes",MIN(MAX(H775,0),'Tax Tables'!$B$27)*'Tax Tables'!$B$28+MIN(MAX(MAX(H775,0)-'Tax Tables'!$B$27,0),'Tax Tables'!$B$29)*'Tax Tables'!$B$30,MIN(MAX(H775,0),'Tax Tables'!$B$23)*'Tax Tables'!$B$24+MIN(MAX(MAX(H775,0)-'Tax Tables'!$B$23,0),'Tax Tables'!$B$25)*'Tax Tables'!$B$26))*1-MIN('Tax Tables'!$B$22*(MAX(H775,0)-IF(Calculator!$B$10="Yes",MIN(MAX(H775,0),'Tax Tables'!$B$27)*'Tax Tables'!$B$28+MIN(MAX(MAX(H775,0)-'Tax Tables'!$B$27,0),'Tax Tables'!$B$29)*'Tax Tables'!$B$30,MIN(MAX(H775,0),'Tax Tables'!$B$23)*'Tax Tables'!$B$24+MIN(MAX(MAX(H775,0)-'Tax Tables'!$B$23,0),'Tax Tables'!$B$25)*'Tax Tables'!$B$26))*Calculator!$B$11,Calculator!$B$12)</f>
        <v>1190</v>
      </c>
      <c r="J775" s="11" t="n">
        <f aca="false">MAX(H775,0)-I775</f>
        <v>17810</v>
      </c>
      <c r="K775" s="11" t="n">
        <f aca="false">MIN(IF(A775&gt;0,Calculator!$B$13,0)+E775+Calculator!$B$14,'Tax Tables'!$B$36)</f>
        <v>1000</v>
      </c>
      <c r="L775" s="11" t="n">
        <f aca="false">MAX(A775-K775,0)</f>
        <v>380000</v>
      </c>
      <c r="M775" s="11" t="n">
        <f aca="false">SUMPRODUCT((L775&gt;'Tax Tables'!$A$5:$A$17)*(L775-'Tax Tables'!$A$5:$A$17)*'Tax Tables'!$C$5:$C$17)</f>
        <v>57750</v>
      </c>
      <c r="N775" s="11" t="n">
        <f aca="false">IF(H775&lt;0,-1E+099,A775-E775-M775+J775+(E775+F775)*Calculator!$B$9)</f>
        <v>341060</v>
      </c>
      <c r="O775" s="2"/>
      <c r="P775" s="11" t="n">
        <f aca="false">762*$B$3</f>
        <v>381000</v>
      </c>
      <c r="Q775" s="11" t="n">
        <f aca="false">MIN(P775,'Tax Tables'!$B$31*'Tax Tables'!$B$32)</f>
        <v>96000</v>
      </c>
      <c r="R775" s="11" t="n">
        <f aca="false">P775-Q775</f>
        <v>285000</v>
      </c>
      <c r="S775" s="11" t="n">
        <f aca="false">IF(Calculator!$B$6="Yes",MIN(Q775,'Tax Tables'!$B$31*'Tax Tables'!$B$32),0)</f>
        <v>96000</v>
      </c>
      <c r="T775" s="11" t="n">
        <f aca="false">S775*Calculator!$B$7</f>
        <v>19200</v>
      </c>
      <c r="U775" s="11" t="n">
        <f aca="false">S775*Calculator!$B$8</f>
        <v>16320</v>
      </c>
      <c r="V775" s="11" t="n">
        <f aca="false">IF(Q775&gt;0,'Tax Tables'!$B$32*MIN(MAX(Q775/'Tax Tables'!$B$32*'Tax Tables'!$B$33,'Tax Tables'!$B$34),'Tax Tables'!$B$35),0)</f>
        <v>135</v>
      </c>
      <c r="W775" s="11" t="n">
        <f aca="false">Calculator!$B$5-P775-U775-V775</f>
        <v>2545</v>
      </c>
      <c r="X775" s="11" t="n">
        <f aca="false">'Tax Tables'!$B$22*(MAX(W775,0)-IF(Calculator!$B$10="Yes",MIN(MAX(W775,0),'Tax Tables'!$B$27)*'Tax Tables'!$B$28+MIN(MAX(MAX(W775,0)-'Tax Tables'!$B$27,0),'Tax Tables'!$B$29)*'Tax Tables'!$B$30,MIN(MAX(W775,0),'Tax Tables'!$B$23)*'Tax Tables'!$B$24+MIN(MAX(MAX(W775,0)-'Tax Tables'!$B$23,0),'Tax Tables'!$B$25)*'Tax Tables'!$B$26))*1-MIN('Tax Tables'!$B$22*(MAX(W775,0)-IF(Calculator!$B$10="Yes",MIN(MAX(W775,0),'Tax Tables'!$B$27)*'Tax Tables'!$B$28+MIN(MAX(MAX(W775,0)-'Tax Tables'!$B$27,0),'Tax Tables'!$B$29)*'Tax Tables'!$B$30,MIN(MAX(W775,0),'Tax Tables'!$B$23)*'Tax Tables'!$B$24+MIN(MAX(MAX(W775,0)-'Tax Tables'!$B$23,0),'Tax Tables'!$B$25)*'Tax Tables'!$B$26))*Calculator!$B$11,Calculator!$B$12)</f>
        <v>108.1625</v>
      </c>
      <c r="Y775" s="11" t="n">
        <f aca="false">MAX(W775,0)-X775</f>
        <v>2436.8375</v>
      </c>
      <c r="Z775" s="11" t="n">
        <f aca="false">MIN(IF(P775&gt;0,Calculator!$B$13,0)+T775+Calculator!$B$14,'Tax Tables'!$B$36)</f>
        <v>20200</v>
      </c>
      <c r="AA775" s="11" t="n">
        <f aca="false">MAX(P775-Z775,0)</f>
        <v>360800</v>
      </c>
      <c r="AB775" s="11" t="n">
        <f aca="false">SUMPRODUCT((AA775&gt;'Tax Tables'!$A$5:$A$17)*(AA775-'Tax Tables'!$A$5:$A$17)*'Tax Tables'!$C$5:$C$17)</f>
        <v>53526</v>
      </c>
      <c r="AC775" s="11" t="n">
        <f aca="false">IF(W775&lt;0,-1E+099,P775-T775-AB775+Y775+(T775+U775)*Calculator!$B$9)</f>
        <v>346230.8375</v>
      </c>
    </row>
    <row r="776" customFormat="false" ht="15" hidden="false" customHeight="false" outlineLevel="0" collapsed="false">
      <c r="A776" s="11" t="n">
        <f aca="false">763*$B$3</f>
        <v>381500</v>
      </c>
      <c r="B776" s="11" t="n">
        <f aca="false">0</f>
        <v>0</v>
      </c>
      <c r="C776" s="11" t="n">
        <f aca="false">A776-B776</f>
        <v>381500</v>
      </c>
      <c r="D776" s="11" t="n">
        <f aca="false">IF(Calculator!$B$6="Yes",MIN(B776,'Tax Tables'!$B$31*'Tax Tables'!$B$32),0)</f>
        <v>0</v>
      </c>
      <c r="E776" s="11" t="n">
        <f aca="false">D776*Calculator!$B$7</f>
        <v>0</v>
      </c>
      <c r="F776" s="11" t="n">
        <f aca="false">D776*Calculator!$B$8</f>
        <v>0</v>
      </c>
      <c r="G776" s="11" t="n">
        <f aca="false">IF(B776&gt;0,'Tax Tables'!$B$32*MIN(MAX(B776/'Tax Tables'!$B$32*'Tax Tables'!$B$33,'Tax Tables'!$B$34),'Tax Tables'!$B$35),0)</f>
        <v>0</v>
      </c>
      <c r="H776" s="11" t="n">
        <f aca="false">Calculator!$B$5-A776-F776-G776</f>
        <v>18500</v>
      </c>
      <c r="I776" s="11" t="n">
        <f aca="false">'Tax Tables'!$B$22*(MAX(H776,0)-IF(Calculator!$B$10="Yes",MIN(MAX(H776,0),'Tax Tables'!$B$27)*'Tax Tables'!$B$28+MIN(MAX(MAX(H776,0)-'Tax Tables'!$B$27,0),'Tax Tables'!$B$29)*'Tax Tables'!$B$30,MIN(MAX(H776,0),'Tax Tables'!$B$23)*'Tax Tables'!$B$24+MIN(MAX(MAX(H776,0)-'Tax Tables'!$B$23,0),'Tax Tables'!$B$25)*'Tax Tables'!$B$26))*1-MIN('Tax Tables'!$B$22*(MAX(H776,0)-IF(Calculator!$B$10="Yes",MIN(MAX(H776,0),'Tax Tables'!$B$27)*'Tax Tables'!$B$28+MIN(MAX(MAX(H776,0)-'Tax Tables'!$B$27,0),'Tax Tables'!$B$29)*'Tax Tables'!$B$30,MIN(MAX(H776,0),'Tax Tables'!$B$23)*'Tax Tables'!$B$24+MIN(MAX(MAX(H776,0)-'Tax Tables'!$B$23,0),'Tax Tables'!$B$25)*'Tax Tables'!$B$26))*Calculator!$B$11,Calculator!$B$12)</f>
        <v>1147.5</v>
      </c>
      <c r="J776" s="11" t="n">
        <f aca="false">MAX(H776,0)-I776</f>
        <v>17352.5</v>
      </c>
      <c r="K776" s="11" t="n">
        <f aca="false">MIN(IF(A776&gt;0,Calculator!$B$13,0)+E776+Calculator!$B$14,'Tax Tables'!$B$36)</f>
        <v>1000</v>
      </c>
      <c r="L776" s="11" t="n">
        <f aca="false">MAX(A776-K776,0)</f>
        <v>380500</v>
      </c>
      <c r="M776" s="11" t="n">
        <f aca="false">SUMPRODUCT((L776&gt;'Tax Tables'!$A$5:$A$17)*(L776-'Tax Tables'!$A$5:$A$17)*'Tax Tables'!$C$5:$C$17)</f>
        <v>57860</v>
      </c>
      <c r="N776" s="11" t="n">
        <f aca="false">IF(H776&lt;0,-1E+099,A776-E776-M776+J776+(E776+F776)*Calculator!$B$9)</f>
        <v>340992.5</v>
      </c>
      <c r="O776" s="2"/>
      <c r="P776" s="11" t="n">
        <f aca="false">763*$B$3</f>
        <v>381500</v>
      </c>
      <c r="Q776" s="11" t="n">
        <f aca="false">MIN(P776,'Tax Tables'!$B$31*'Tax Tables'!$B$32)</f>
        <v>96000</v>
      </c>
      <c r="R776" s="11" t="n">
        <f aca="false">P776-Q776</f>
        <v>285500</v>
      </c>
      <c r="S776" s="11" t="n">
        <f aca="false">IF(Calculator!$B$6="Yes",MIN(Q776,'Tax Tables'!$B$31*'Tax Tables'!$B$32),0)</f>
        <v>96000</v>
      </c>
      <c r="T776" s="11" t="n">
        <f aca="false">S776*Calculator!$B$7</f>
        <v>19200</v>
      </c>
      <c r="U776" s="11" t="n">
        <f aca="false">S776*Calculator!$B$8</f>
        <v>16320</v>
      </c>
      <c r="V776" s="11" t="n">
        <f aca="false">IF(Q776&gt;0,'Tax Tables'!$B$32*MIN(MAX(Q776/'Tax Tables'!$B$32*'Tax Tables'!$B$33,'Tax Tables'!$B$34),'Tax Tables'!$B$35),0)</f>
        <v>135</v>
      </c>
      <c r="W776" s="11" t="n">
        <f aca="false">Calculator!$B$5-P776-U776-V776</f>
        <v>2045</v>
      </c>
      <c r="X776" s="11" t="n">
        <f aca="false">'Tax Tables'!$B$22*(MAX(W776,0)-IF(Calculator!$B$10="Yes",MIN(MAX(W776,0),'Tax Tables'!$B$27)*'Tax Tables'!$B$28+MIN(MAX(MAX(W776,0)-'Tax Tables'!$B$27,0),'Tax Tables'!$B$29)*'Tax Tables'!$B$30,MIN(MAX(W776,0),'Tax Tables'!$B$23)*'Tax Tables'!$B$24+MIN(MAX(MAX(W776,0)-'Tax Tables'!$B$23,0),'Tax Tables'!$B$25)*'Tax Tables'!$B$26))*1-MIN('Tax Tables'!$B$22*(MAX(W776,0)-IF(Calculator!$B$10="Yes",MIN(MAX(W776,0),'Tax Tables'!$B$27)*'Tax Tables'!$B$28+MIN(MAX(MAX(W776,0)-'Tax Tables'!$B$27,0),'Tax Tables'!$B$29)*'Tax Tables'!$B$30,MIN(MAX(W776,0),'Tax Tables'!$B$23)*'Tax Tables'!$B$24+MIN(MAX(MAX(W776,0)-'Tax Tables'!$B$23,0),'Tax Tables'!$B$25)*'Tax Tables'!$B$26))*Calculator!$B$11,Calculator!$B$12)</f>
        <v>86.9124999999999</v>
      </c>
      <c r="Y776" s="11" t="n">
        <f aca="false">MAX(W776,0)-X776</f>
        <v>1958.0875</v>
      </c>
      <c r="Z776" s="11" t="n">
        <f aca="false">MIN(IF(P776&gt;0,Calculator!$B$13,0)+T776+Calculator!$B$14,'Tax Tables'!$B$36)</f>
        <v>20200</v>
      </c>
      <c r="AA776" s="11" t="n">
        <f aca="false">MAX(P776-Z776,0)</f>
        <v>361300</v>
      </c>
      <c r="AB776" s="11" t="n">
        <f aca="false">SUMPRODUCT((AA776&gt;'Tax Tables'!$A$5:$A$17)*(AA776-'Tax Tables'!$A$5:$A$17)*'Tax Tables'!$C$5:$C$17)</f>
        <v>53636</v>
      </c>
      <c r="AC776" s="11" t="n">
        <f aca="false">IF(W776&lt;0,-1E+099,P776-T776-AB776+Y776+(T776+U776)*Calculator!$B$9)</f>
        <v>346142.0875</v>
      </c>
    </row>
    <row r="777" customFormat="false" ht="15" hidden="false" customHeight="false" outlineLevel="0" collapsed="false">
      <c r="A777" s="11" t="n">
        <f aca="false">764*$B$3</f>
        <v>382000</v>
      </c>
      <c r="B777" s="11" t="n">
        <f aca="false">0</f>
        <v>0</v>
      </c>
      <c r="C777" s="11" t="n">
        <f aca="false">A777-B777</f>
        <v>382000</v>
      </c>
      <c r="D777" s="11" t="n">
        <f aca="false">IF(Calculator!$B$6="Yes",MIN(B777,'Tax Tables'!$B$31*'Tax Tables'!$B$32),0)</f>
        <v>0</v>
      </c>
      <c r="E777" s="11" t="n">
        <f aca="false">D777*Calculator!$B$7</f>
        <v>0</v>
      </c>
      <c r="F777" s="11" t="n">
        <f aca="false">D777*Calculator!$B$8</f>
        <v>0</v>
      </c>
      <c r="G777" s="11" t="n">
        <f aca="false">IF(B777&gt;0,'Tax Tables'!$B$32*MIN(MAX(B777/'Tax Tables'!$B$32*'Tax Tables'!$B$33,'Tax Tables'!$B$34),'Tax Tables'!$B$35),0)</f>
        <v>0</v>
      </c>
      <c r="H777" s="11" t="n">
        <f aca="false">Calculator!$B$5-A777-F777-G777</f>
        <v>18000</v>
      </c>
      <c r="I777" s="11" t="n">
        <f aca="false">'Tax Tables'!$B$22*(MAX(H777,0)-IF(Calculator!$B$10="Yes",MIN(MAX(H777,0),'Tax Tables'!$B$27)*'Tax Tables'!$B$28+MIN(MAX(MAX(H777,0)-'Tax Tables'!$B$27,0),'Tax Tables'!$B$29)*'Tax Tables'!$B$30,MIN(MAX(H777,0),'Tax Tables'!$B$23)*'Tax Tables'!$B$24+MIN(MAX(MAX(H777,0)-'Tax Tables'!$B$23,0),'Tax Tables'!$B$25)*'Tax Tables'!$B$26))*1-MIN('Tax Tables'!$B$22*(MAX(H777,0)-IF(Calculator!$B$10="Yes",MIN(MAX(H777,0),'Tax Tables'!$B$27)*'Tax Tables'!$B$28+MIN(MAX(MAX(H777,0)-'Tax Tables'!$B$27,0),'Tax Tables'!$B$29)*'Tax Tables'!$B$30,MIN(MAX(H777,0),'Tax Tables'!$B$23)*'Tax Tables'!$B$24+MIN(MAX(MAX(H777,0)-'Tax Tables'!$B$23,0),'Tax Tables'!$B$25)*'Tax Tables'!$B$26))*Calculator!$B$11,Calculator!$B$12)</f>
        <v>1105</v>
      </c>
      <c r="J777" s="11" t="n">
        <f aca="false">MAX(H777,0)-I777</f>
        <v>16895</v>
      </c>
      <c r="K777" s="11" t="n">
        <f aca="false">MIN(IF(A777&gt;0,Calculator!$B$13,0)+E777+Calculator!$B$14,'Tax Tables'!$B$36)</f>
        <v>1000</v>
      </c>
      <c r="L777" s="11" t="n">
        <f aca="false">MAX(A777-K777,0)</f>
        <v>381000</v>
      </c>
      <c r="M777" s="11" t="n">
        <f aca="false">SUMPRODUCT((L777&gt;'Tax Tables'!$A$5:$A$17)*(L777-'Tax Tables'!$A$5:$A$17)*'Tax Tables'!$C$5:$C$17)</f>
        <v>57970</v>
      </c>
      <c r="N777" s="11" t="n">
        <f aca="false">IF(H777&lt;0,-1E+099,A777-E777-M777+J777+(E777+F777)*Calculator!$B$9)</f>
        <v>340925</v>
      </c>
      <c r="O777" s="2"/>
      <c r="P777" s="11" t="n">
        <f aca="false">764*$B$3</f>
        <v>382000</v>
      </c>
      <c r="Q777" s="11" t="n">
        <f aca="false">MIN(P777,'Tax Tables'!$B$31*'Tax Tables'!$B$32)</f>
        <v>96000</v>
      </c>
      <c r="R777" s="11" t="n">
        <f aca="false">P777-Q777</f>
        <v>286000</v>
      </c>
      <c r="S777" s="11" t="n">
        <f aca="false">IF(Calculator!$B$6="Yes",MIN(Q777,'Tax Tables'!$B$31*'Tax Tables'!$B$32),0)</f>
        <v>96000</v>
      </c>
      <c r="T777" s="11" t="n">
        <f aca="false">S777*Calculator!$B$7</f>
        <v>19200</v>
      </c>
      <c r="U777" s="11" t="n">
        <f aca="false">S777*Calculator!$B$8</f>
        <v>16320</v>
      </c>
      <c r="V777" s="11" t="n">
        <f aca="false">IF(Q777&gt;0,'Tax Tables'!$B$32*MIN(MAX(Q777/'Tax Tables'!$B$32*'Tax Tables'!$B$33,'Tax Tables'!$B$34),'Tax Tables'!$B$35),0)</f>
        <v>135</v>
      </c>
      <c r="W777" s="11" t="n">
        <f aca="false">Calculator!$B$5-P777-U777-V777</f>
        <v>1545</v>
      </c>
      <c r="X777" s="11" t="n">
        <f aca="false">'Tax Tables'!$B$22*(MAX(W777,0)-IF(Calculator!$B$10="Yes",MIN(MAX(W777,0),'Tax Tables'!$B$27)*'Tax Tables'!$B$28+MIN(MAX(MAX(W777,0)-'Tax Tables'!$B$27,0),'Tax Tables'!$B$29)*'Tax Tables'!$B$30,MIN(MAX(W777,0),'Tax Tables'!$B$23)*'Tax Tables'!$B$24+MIN(MAX(MAX(W777,0)-'Tax Tables'!$B$23,0),'Tax Tables'!$B$25)*'Tax Tables'!$B$26))*1-MIN('Tax Tables'!$B$22*(MAX(W777,0)-IF(Calculator!$B$10="Yes",MIN(MAX(W777,0),'Tax Tables'!$B$27)*'Tax Tables'!$B$28+MIN(MAX(MAX(W777,0)-'Tax Tables'!$B$27,0),'Tax Tables'!$B$29)*'Tax Tables'!$B$30,MIN(MAX(W777,0),'Tax Tables'!$B$23)*'Tax Tables'!$B$24+MIN(MAX(MAX(W777,0)-'Tax Tables'!$B$23,0),'Tax Tables'!$B$25)*'Tax Tables'!$B$26))*Calculator!$B$11,Calculator!$B$12)</f>
        <v>65.6624999999999</v>
      </c>
      <c r="Y777" s="11" t="n">
        <f aca="false">MAX(W777,0)-X777</f>
        <v>1479.3375</v>
      </c>
      <c r="Z777" s="11" t="n">
        <f aca="false">MIN(IF(P777&gt;0,Calculator!$B$13,0)+T777+Calculator!$B$14,'Tax Tables'!$B$36)</f>
        <v>20200</v>
      </c>
      <c r="AA777" s="11" t="n">
        <f aca="false">MAX(P777-Z777,0)</f>
        <v>361800</v>
      </c>
      <c r="AB777" s="11" t="n">
        <f aca="false">SUMPRODUCT((AA777&gt;'Tax Tables'!$A$5:$A$17)*(AA777-'Tax Tables'!$A$5:$A$17)*'Tax Tables'!$C$5:$C$17)</f>
        <v>53746</v>
      </c>
      <c r="AC777" s="11" t="n">
        <f aca="false">IF(W777&lt;0,-1E+099,P777-T777-AB777+Y777+(T777+U777)*Calculator!$B$9)</f>
        <v>346053.3375</v>
      </c>
    </row>
    <row r="778" customFormat="false" ht="15" hidden="false" customHeight="false" outlineLevel="0" collapsed="false">
      <c r="A778" s="11" t="n">
        <f aca="false">765*$B$3</f>
        <v>382500</v>
      </c>
      <c r="B778" s="11" t="n">
        <f aca="false">0</f>
        <v>0</v>
      </c>
      <c r="C778" s="11" t="n">
        <f aca="false">A778-B778</f>
        <v>382500</v>
      </c>
      <c r="D778" s="11" t="n">
        <f aca="false">IF(Calculator!$B$6="Yes",MIN(B778,'Tax Tables'!$B$31*'Tax Tables'!$B$32),0)</f>
        <v>0</v>
      </c>
      <c r="E778" s="11" t="n">
        <f aca="false">D778*Calculator!$B$7</f>
        <v>0</v>
      </c>
      <c r="F778" s="11" t="n">
        <f aca="false">D778*Calculator!$B$8</f>
        <v>0</v>
      </c>
      <c r="G778" s="11" t="n">
        <f aca="false">IF(B778&gt;0,'Tax Tables'!$B$32*MIN(MAX(B778/'Tax Tables'!$B$32*'Tax Tables'!$B$33,'Tax Tables'!$B$34),'Tax Tables'!$B$35),0)</f>
        <v>0</v>
      </c>
      <c r="H778" s="11" t="n">
        <f aca="false">Calculator!$B$5-A778-F778-G778</f>
        <v>17500</v>
      </c>
      <c r="I778" s="11" t="n">
        <f aca="false">'Tax Tables'!$B$22*(MAX(H778,0)-IF(Calculator!$B$10="Yes",MIN(MAX(H778,0),'Tax Tables'!$B$27)*'Tax Tables'!$B$28+MIN(MAX(MAX(H778,0)-'Tax Tables'!$B$27,0),'Tax Tables'!$B$29)*'Tax Tables'!$B$30,MIN(MAX(H778,0),'Tax Tables'!$B$23)*'Tax Tables'!$B$24+MIN(MAX(MAX(H778,0)-'Tax Tables'!$B$23,0),'Tax Tables'!$B$25)*'Tax Tables'!$B$26))*1-MIN('Tax Tables'!$B$22*(MAX(H778,0)-IF(Calculator!$B$10="Yes",MIN(MAX(H778,0),'Tax Tables'!$B$27)*'Tax Tables'!$B$28+MIN(MAX(MAX(H778,0)-'Tax Tables'!$B$27,0),'Tax Tables'!$B$29)*'Tax Tables'!$B$30,MIN(MAX(H778,0),'Tax Tables'!$B$23)*'Tax Tables'!$B$24+MIN(MAX(MAX(H778,0)-'Tax Tables'!$B$23,0),'Tax Tables'!$B$25)*'Tax Tables'!$B$26))*Calculator!$B$11,Calculator!$B$12)</f>
        <v>1062.5</v>
      </c>
      <c r="J778" s="11" t="n">
        <f aca="false">MAX(H778,0)-I778</f>
        <v>16437.5</v>
      </c>
      <c r="K778" s="11" t="n">
        <f aca="false">MIN(IF(A778&gt;0,Calculator!$B$13,0)+E778+Calculator!$B$14,'Tax Tables'!$B$36)</f>
        <v>1000</v>
      </c>
      <c r="L778" s="11" t="n">
        <f aca="false">MAX(A778-K778,0)</f>
        <v>381500</v>
      </c>
      <c r="M778" s="11" t="n">
        <f aca="false">SUMPRODUCT((L778&gt;'Tax Tables'!$A$5:$A$17)*(L778-'Tax Tables'!$A$5:$A$17)*'Tax Tables'!$C$5:$C$17)</f>
        <v>58080</v>
      </c>
      <c r="N778" s="11" t="n">
        <f aca="false">IF(H778&lt;0,-1E+099,A778-E778-M778+J778+(E778+F778)*Calculator!$B$9)</f>
        <v>340857.5</v>
      </c>
      <c r="O778" s="2"/>
      <c r="P778" s="11" t="n">
        <f aca="false">765*$B$3</f>
        <v>382500</v>
      </c>
      <c r="Q778" s="11" t="n">
        <f aca="false">MIN(P778,'Tax Tables'!$B$31*'Tax Tables'!$B$32)</f>
        <v>96000</v>
      </c>
      <c r="R778" s="11" t="n">
        <f aca="false">P778-Q778</f>
        <v>286500</v>
      </c>
      <c r="S778" s="11" t="n">
        <f aca="false">IF(Calculator!$B$6="Yes",MIN(Q778,'Tax Tables'!$B$31*'Tax Tables'!$B$32),0)</f>
        <v>96000</v>
      </c>
      <c r="T778" s="11" t="n">
        <f aca="false">S778*Calculator!$B$7</f>
        <v>19200</v>
      </c>
      <c r="U778" s="11" t="n">
        <f aca="false">S778*Calculator!$B$8</f>
        <v>16320</v>
      </c>
      <c r="V778" s="11" t="n">
        <f aca="false">IF(Q778&gt;0,'Tax Tables'!$B$32*MIN(MAX(Q778/'Tax Tables'!$B$32*'Tax Tables'!$B$33,'Tax Tables'!$B$34),'Tax Tables'!$B$35),0)</f>
        <v>135</v>
      </c>
      <c r="W778" s="11" t="n">
        <f aca="false">Calculator!$B$5-P778-U778-V778</f>
        <v>1045</v>
      </c>
      <c r="X778" s="11" t="n">
        <f aca="false">'Tax Tables'!$B$22*(MAX(W778,0)-IF(Calculator!$B$10="Yes",MIN(MAX(W778,0),'Tax Tables'!$B$27)*'Tax Tables'!$B$28+MIN(MAX(MAX(W778,0)-'Tax Tables'!$B$27,0),'Tax Tables'!$B$29)*'Tax Tables'!$B$30,MIN(MAX(W778,0),'Tax Tables'!$B$23)*'Tax Tables'!$B$24+MIN(MAX(MAX(W778,0)-'Tax Tables'!$B$23,0),'Tax Tables'!$B$25)*'Tax Tables'!$B$26))*1-MIN('Tax Tables'!$B$22*(MAX(W778,0)-IF(Calculator!$B$10="Yes",MIN(MAX(W778,0),'Tax Tables'!$B$27)*'Tax Tables'!$B$28+MIN(MAX(MAX(W778,0)-'Tax Tables'!$B$27,0),'Tax Tables'!$B$29)*'Tax Tables'!$B$30,MIN(MAX(W778,0),'Tax Tables'!$B$23)*'Tax Tables'!$B$24+MIN(MAX(MAX(W778,0)-'Tax Tables'!$B$23,0),'Tax Tables'!$B$25)*'Tax Tables'!$B$26))*Calculator!$B$11,Calculator!$B$12)</f>
        <v>44.4124999999999</v>
      </c>
      <c r="Y778" s="11" t="n">
        <f aca="false">MAX(W778,0)-X778</f>
        <v>1000.5875</v>
      </c>
      <c r="Z778" s="11" t="n">
        <f aca="false">MIN(IF(P778&gt;0,Calculator!$B$13,0)+T778+Calculator!$B$14,'Tax Tables'!$B$36)</f>
        <v>20200</v>
      </c>
      <c r="AA778" s="11" t="n">
        <f aca="false">MAX(P778-Z778,0)</f>
        <v>362300</v>
      </c>
      <c r="AB778" s="11" t="n">
        <f aca="false">SUMPRODUCT((AA778&gt;'Tax Tables'!$A$5:$A$17)*(AA778-'Tax Tables'!$A$5:$A$17)*'Tax Tables'!$C$5:$C$17)</f>
        <v>53856</v>
      </c>
      <c r="AC778" s="11" t="n">
        <f aca="false">IF(W778&lt;0,-1E+099,P778-T778-AB778+Y778+(T778+U778)*Calculator!$B$9)</f>
        <v>345964.5875</v>
      </c>
    </row>
    <row r="779" customFormat="false" ht="15" hidden="false" customHeight="false" outlineLevel="0" collapsed="false">
      <c r="A779" s="11" t="n">
        <f aca="false">766*$B$3</f>
        <v>383000</v>
      </c>
      <c r="B779" s="11" t="n">
        <f aca="false">0</f>
        <v>0</v>
      </c>
      <c r="C779" s="11" t="n">
        <f aca="false">A779-B779</f>
        <v>383000</v>
      </c>
      <c r="D779" s="11" t="n">
        <f aca="false">IF(Calculator!$B$6="Yes",MIN(B779,'Tax Tables'!$B$31*'Tax Tables'!$B$32),0)</f>
        <v>0</v>
      </c>
      <c r="E779" s="11" t="n">
        <f aca="false">D779*Calculator!$B$7</f>
        <v>0</v>
      </c>
      <c r="F779" s="11" t="n">
        <f aca="false">D779*Calculator!$B$8</f>
        <v>0</v>
      </c>
      <c r="G779" s="11" t="n">
        <f aca="false">IF(B779&gt;0,'Tax Tables'!$B$32*MIN(MAX(B779/'Tax Tables'!$B$32*'Tax Tables'!$B$33,'Tax Tables'!$B$34),'Tax Tables'!$B$35),0)</f>
        <v>0</v>
      </c>
      <c r="H779" s="11" t="n">
        <f aca="false">Calculator!$B$5-A779-F779-G779</f>
        <v>17000</v>
      </c>
      <c r="I779" s="11" t="n">
        <f aca="false">'Tax Tables'!$B$22*(MAX(H779,0)-IF(Calculator!$B$10="Yes",MIN(MAX(H779,0),'Tax Tables'!$B$27)*'Tax Tables'!$B$28+MIN(MAX(MAX(H779,0)-'Tax Tables'!$B$27,0),'Tax Tables'!$B$29)*'Tax Tables'!$B$30,MIN(MAX(H779,0),'Tax Tables'!$B$23)*'Tax Tables'!$B$24+MIN(MAX(MAX(H779,0)-'Tax Tables'!$B$23,0),'Tax Tables'!$B$25)*'Tax Tables'!$B$26))*1-MIN('Tax Tables'!$B$22*(MAX(H779,0)-IF(Calculator!$B$10="Yes",MIN(MAX(H779,0),'Tax Tables'!$B$27)*'Tax Tables'!$B$28+MIN(MAX(MAX(H779,0)-'Tax Tables'!$B$27,0),'Tax Tables'!$B$29)*'Tax Tables'!$B$30,MIN(MAX(H779,0),'Tax Tables'!$B$23)*'Tax Tables'!$B$24+MIN(MAX(MAX(H779,0)-'Tax Tables'!$B$23,0),'Tax Tables'!$B$25)*'Tax Tables'!$B$26))*Calculator!$B$11,Calculator!$B$12)</f>
        <v>1020</v>
      </c>
      <c r="J779" s="11" t="n">
        <f aca="false">MAX(H779,0)-I779</f>
        <v>15980</v>
      </c>
      <c r="K779" s="11" t="n">
        <f aca="false">MIN(IF(A779&gt;0,Calculator!$B$13,0)+E779+Calculator!$B$14,'Tax Tables'!$B$36)</f>
        <v>1000</v>
      </c>
      <c r="L779" s="11" t="n">
        <f aca="false">MAX(A779-K779,0)</f>
        <v>382000</v>
      </c>
      <c r="M779" s="11" t="n">
        <f aca="false">SUMPRODUCT((L779&gt;'Tax Tables'!$A$5:$A$17)*(L779-'Tax Tables'!$A$5:$A$17)*'Tax Tables'!$C$5:$C$17)</f>
        <v>58190</v>
      </c>
      <c r="N779" s="11" t="n">
        <f aca="false">IF(H779&lt;0,-1E+099,A779-E779-M779+J779+(E779+F779)*Calculator!$B$9)</f>
        <v>340790</v>
      </c>
      <c r="O779" s="2"/>
      <c r="P779" s="11" t="n">
        <f aca="false">766*$B$3</f>
        <v>383000</v>
      </c>
      <c r="Q779" s="11" t="n">
        <f aca="false">MIN(P779,'Tax Tables'!$B$31*'Tax Tables'!$B$32)</f>
        <v>96000</v>
      </c>
      <c r="R779" s="11" t="n">
        <f aca="false">P779-Q779</f>
        <v>287000</v>
      </c>
      <c r="S779" s="11" t="n">
        <f aca="false">IF(Calculator!$B$6="Yes",MIN(Q779,'Tax Tables'!$B$31*'Tax Tables'!$B$32),0)</f>
        <v>96000</v>
      </c>
      <c r="T779" s="11" t="n">
        <f aca="false">S779*Calculator!$B$7</f>
        <v>19200</v>
      </c>
      <c r="U779" s="11" t="n">
        <f aca="false">S779*Calculator!$B$8</f>
        <v>16320</v>
      </c>
      <c r="V779" s="11" t="n">
        <f aca="false">IF(Q779&gt;0,'Tax Tables'!$B$32*MIN(MAX(Q779/'Tax Tables'!$B$32*'Tax Tables'!$B$33,'Tax Tables'!$B$34),'Tax Tables'!$B$35),0)</f>
        <v>135</v>
      </c>
      <c r="W779" s="11" t="n">
        <f aca="false">Calculator!$B$5-P779-U779-V779</f>
        <v>544.999999999998</v>
      </c>
      <c r="X779" s="11" t="n">
        <f aca="false">'Tax Tables'!$B$22*(MAX(W779,0)-IF(Calculator!$B$10="Yes",MIN(MAX(W779,0),'Tax Tables'!$B$27)*'Tax Tables'!$B$28+MIN(MAX(MAX(W779,0)-'Tax Tables'!$B$27,0),'Tax Tables'!$B$29)*'Tax Tables'!$B$30,MIN(MAX(W779,0),'Tax Tables'!$B$23)*'Tax Tables'!$B$24+MIN(MAX(MAX(W779,0)-'Tax Tables'!$B$23,0),'Tax Tables'!$B$25)*'Tax Tables'!$B$26))*1-MIN('Tax Tables'!$B$22*(MAX(W779,0)-IF(Calculator!$B$10="Yes",MIN(MAX(W779,0),'Tax Tables'!$B$27)*'Tax Tables'!$B$28+MIN(MAX(MAX(W779,0)-'Tax Tables'!$B$27,0),'Tax Tables'!$B$29)*'Tax Tables'!$B$30,MIN(MAX(W779,0),'Tax Tables'!$B$23)*'Tax Tables'!$B$24+MIN(MAX(MAX(W779,0)-'Tax Tables'!$B$23,0),'Tax Tables'!$B$25)*'Tax Tables'!$B$26))*Calculator!$B$11,Calculator!$B$12)</f>
        <v>23.1624999999999</v>
      </c>
      <c r="Y779" s="11" t="n">
        <f aca="false">MAX(W779,0)-X779</f>
        <v>521.837499999998</v>
      </c>
      <c r="Z779" s="11" t="n">
        <f aca="false">MIN(IF(P779&gt;0,Calculator!$B$13,0)+T779+Calculator!$B$14,'Tax Tables'!$B$36)</f>
        <v>20200</v>
      </c>
      <c r="AA779" s="11" t="n">
        <f aca="false">MAX(P779-Z779,0)</f>
        <v>362800</v>
      </c>
      <c r="AB779" s="11" t="n">
        <f aca="false">SUMPRODUCT((AA779&gt;'Tax Tables'!$A$5:$A$17)*(AA779-'Tax Tables'!$A$5:$A$17)*'Tax Tables'!$C$5:$C$17)</f>
        <v>53966</v>
      </c>
      <c r="AC779" s="11" t="n">
        <f aca="false">IF(W779&lt;0,-1E+099,P779-T779-AB779+Y779+(T779+U779)*Calculator!$B$9)</f>
        <v>345875.8375</v>
      </c>
    </row>
    <row r="780" customFormat="false" ht="15" hidden="false" customHeight="false" outlineLevel="0" collapsed="false">
      <c r="A780" s="11" t="n">
        <f aca="false">767*$B$3</f>
        <v>383500</v>
      </c>
      <c r="B780" s="11" t="n">
        <f aca="false">0</f>
        <v>0</v>
      </c>
      <c r="C780" s="11" t="n">
        <f aca="false">A780-B780</f>
        <v>383500</v>
      </c>
      <c r="D780" s="11" t="n">
        <f aca="false">IF(Calculator!$B$6="Yes",MIN(B780,'Tax Tables'!$B$31*'Tax Tables'!$B$32),0)</f>
        <v>0</v>
      </c>
      <c r="E780" s="11" t="n">
        <f aca="false">D780*Calculator!$B$7</f>
        <v>0</v>
      </c>
      <c r="F780" s="11" t="n">
        <f aca="false">D780*Calculator!$B$8</f>
        <v>0</v>
      </c>
      <c r="G780" s="11" t="n">
        <f aca="false">IF(B780&gt;0,'Tax Tables'!$B$32*MIN(MAX(B780/'Tax Tables'!$B$32*'Tax Tables'!$B$33,'Tax Tables'!$B$34),'Tax Tables'!$B$35),0)</f>
        <v>0</v>
      </c>
      <c r="H780" s="11" t="n">
        <f aca="false">Calculator!$B$5-A780-F780-G780</f>
        <v>16500</v>
      </c>
      <c r="I780" s="11" t="n">
        <f aca="false">'Tax Tables'!$B$22*(MAX(H780,0)-IF(Calculator!$B$10="Yes",MIN(MAX(H780,0),'Tax Tables'!$B$27)*'Tax Tables'!$B$28+MIN(MAX(MAX(H780,0)-'Tax Tables'!$B$27,0),'Tax Tables'!$B$29)*'Tax Tables'!$B$30,MIN(MAX(H780,0),'Tax Tables'!$B$23)*'Tax Tables'!$B$24+MIN(MAX(MAX(H780,0)-'Tax Tables'!$B$23,0),'Tax Tables'!$B$25)*'Tax Tables'!$B$26))*1-MIN('Tax Tables'!$B$22*(MAX(H780,0)-IF(Calculator!$B$10="Yes",MIN(MAX(H780,0),'Tax Tables'!$B$27)*'Tax Tables'!$B$28+MIN(MAX(MAX(H780,0)-'Tax Tables'!$B$27,0),'Tax Tables'!$B$29)*'Tax Tables'!$B$30,MIN(MAX(H780,0),'Tax Tables'!$B$23)*'Tax Tables'!$B$24+MIN(MAX(MAX(H780,0)-'Tax Tables'!$B$23,0),'Tax Tables'!$B$25)*'Tax Tables'!$B$26))*Calculator!$B$11,Calculator!$B$12)</f>
        <v>977.5</v>
      </c>
      <c r="J780" s="11" t="n">
        <f aca="false">MAX(H780,0)-I780</f>
        <v>15522.5</v>
      </c>
      <c r="K780" s="11" t="n">
        <f aca="false">MIN(IF(A780&gt;0,Calculator!$B$13,0)+E780+Calculator!$B$14,'Tax Tables'!$B$36)</f>
        <v>1000</v>
      </c>
      <c r="L780" s="11" t="n">
        <f aca="false">MAX(A780-K780,0)</f>
        <v>382500</v>
      </c>
      <c r="M780" s="11" t="n">
        <f aca="false">SUMPRODUCT((L780&gt;'Tax Tables'!$A$5:$A$17)*(L780-'Tax Tables'!$A$5:$A$17)*'Tax Tables'!$C$5:$C$17)</f>
        <v>58300</v>
      </c>
      <c r="N780" s="11" t="n">
        <f aca="false">IF(H780&lt;0,-1E+099,A780-E780-M780+J780+(E780+F780)*Calculator!$B$9)</f>
        <v>340722.5</v>
      </c>
      <c r="O780" s="2"/>
      <c r="P780" s="11" t="n">
        <f aca="false">767*$B$3</f>
        <v>383500</v>
      </c>
      <c r="Q780" s="11" t="n">
        <f aca="false">MIN(P780,'Tax Tables'!$B$31*'Tax Tables'!$B$32)</f>
        <v>96000</v>
      </c>
      <c r="R780" s="11" t="n">
        <f aca="false">P780-Q780</f>
        <v>287500</v>
      </c>
      <c r="S780" s="11" t="n">
        <f aca="false">IF(Calculator!$B$6="Yes",MIN(Q780,'Tax Tables'!$B$31*'Tax Tables'!$B$32),0)</f>
        <v>96000</v>
      </c>
      <c r="T780" s="11" t="n">
        <f aca="false">S780*Calculator!$B$7</f>
        <v>19200</v>
      </c>
      <c r="U780" s="11" t="n">
        <f aca="false">S780*Calculator!$B$8</f>
        <v>16320</v>
      </c>
      <c r="V780" s="11" t="n">
        <f aca="false">IF(Q780&gt;0,'Tax Tables'!$B$32*MIN(MAX(Q780/'Tax Tables'!$B$32*'Tax Tables'!$B$33,'Tax Tables'!$B$34),'Tax Tables'!$B$35),0)</f>
        <v>135</v>
      </c>
      <c r="W780" s="11" t="n">
        <f aca="false">Calculator!$B$5-P780-U780-V780</f>
        <v>44.9999999999982</v>
      </c>
      <c r="X780" s="11" t="n">
        <f aca="false">'Tax Tables'!$B$22*(MAX(W780,0)-IF(Calculator!$B$10="Yes",MIN(MAX(W780,0),'Tax Tables'!$B$27)*'Tax Tables'!$B$28+MIN(MAX(MAX(W780,0)-'Tax Tables'!$B$27,0),'Tax Tables'!$B$29)*'Tax Tables'!$B$30,MIN(MAX(W780,0),'Tax Tables'!$B$23)*'Tax Tables'!$B$24+MIN(MAX(MAX(W780,0)-'Tax Tables'!$B$23,0),'Tax Tables'!$B$25)*'Tax Tables'!$B$26))*1-MIN('Tax Tables'!$B$22*(MAX(W780,0)-IF(Calculator!$B$10="Yes",MIN(MAX(W780,0),'Tax Tables'!$B$27)*'Tax Tables'!$B$28+MIN(MAX(MAX(W780,0)-'Tax Tables'!$B$27,0),'Tax Tables'!$B$29)*'Tax Tables'!$B$30,MIN(MAX(W780,0),'Tax Tables'!$B$23)*'Tax Tables'!$B$24+MIN(MAX(MAX(W780,0)-'Tax Tables'!$B$23,0),'Tax Tables'!$B$25)*'Tax Tables'!$B$26))*Calculator!$B$11,Calculator!$B$12)</f>
        <v>1.91249999999992</v>
      </c>
      <c r="Y780" s="11" t="n">
        <f aca="false">MAX(W780,0)-X780</f>
        <v>43.0874999999983</v>
      </c>
      <c r="Z780" s="11" t="n">
        <f aca="false">MIN(IF(P780&gt;0,Calculator!$B$13,0)+T780+Calculator!$B$14,'Tax Tables'!$B$36)</f>
        <v>20200</v>
      </c>
      <c r="AA780" s="11" t="n">
        <f aca="false">MAX(P780-Z780,0)</f>
        <v>363300</v>
      </c>
      <c r="AB780" s="11" t="n">
        <f aca="false">SUMPRODUCT((AA780&gt;'Tax Tables'!$A$5:$A$17)*(AA780-'Tax Tables'!$A$5:$A$17)*'Tax Tables'!$C$5:$C$17)</f>
        <v>54076</v>
      </c>
      <c r="AC780" s="11" t="n">
        <f aca="false">IF(W780&lt;0,-1E+099,P780-T780-AB780+Y780+(T780+U780)*Calculator!$B$9)</f>
        <v>345787.0875</v>
      </c>
    </row>
    <row r="781" customFormat="false" ht="15" hidden="false" customHeight="false" outlineLevel="0" collapsed="false">
      <c r="A781" s="11" t="n">
        <f aca="false">768*$B$3</f>
        <v>384000</v>
      </c>
      <c r="B781" s="11" t="n">
        <f aca="false">0</f>
        <v>0</v>
      </c>
      <c r="C781" s="11" t="n">
        <f aca="false">A781-B781</f>
        <v>384000</v>
      </c>
      <c r="D781" s="11" t="n">
        <f aca="false">IF(Calculator!$B$6="Yes",MIN(B781,'Tax Tables'!$B$31*'Tax Tables'!$B$32),0)</f>
        <v>0</v>
      </c>
      <c r="E781" s="11" t="n">
        <f aca="false">D781*Calculator!$B$7</f>
        <v>0</v>
      </c>
      <c r="F781" s="11" t="n">
        <f aca="false">D781*Calculator!$B$8</f>
        <v>0</v>
      </c>
      <c r="G781" s="11" t="n">
        <f aca="false">IF(B781&gt;0,'Tax Tables'!$B$32*MIN(MAX(B781/'Tax Tables'!$B$32*'Tax Tables'!$B$33,'Tax Tables'!$B$34),'Tax Tables'!$B$35),0)</f>
        <v>0</v>
      </c>
      <c r="H781" s="11" t="n">
        <f aca="false">Calculator!$B$5-A781-F781-G781</f>
        <v>16000</v>
      </c>
      <c r="I781" s="11" t="n">
        <f aca="false">'Tax Tables'!$B$22*(MAX(H781,0)-IF(Calculator!$B$10="Yes",MIN(MAX(H781,0),'Tax Tables'!$B$27)*'Tax Tables'!$B$28+MIN(MAX(MAX(H781,0)-'Tax Tables'!$B$27,0),'Tax Tables'!$B$29)*'Tax Tables'!$B$30,MIN(MAX(H781,0),'Tax Tables'!$B$23)*'Tax Tables'!$B$24+MIN(MAX(MAX(H781,0)-'Tax Tables'!$B$23,0),'Tax Tables'!$B$25)*'Tax Tables'!$B$26))*1-MIN('Tax Tables'!$B$22*(MAX(H781,0)-IF(Calculator!$B$10="Yes",MIN(MAX(H781,0),'Tax Tables'!$B$27)*'Tax Tables'!$B$28+MIN(MAX(MAX(H781,0)-'Tax Tables'!$B$27,0),'Tax Tables'!$B$29)*'Tax Tables'!$B$30,MIN(MAX(H781,0),'Tax Tables'!$B$23)*'Tax Tables'!$B$24+MIN(MAX(MAX(H781,0)-'Tax Tables'!$B$23,0),'Tax Tables'!$B$25)*'Tax Tables'!$B$26))*Calculator!$B$11,Calculator!$B$12)</f>
        <v>935</v>
      </c>
      <c r="J781" s="11" t="n">
        <f aca="false">MAX(H781,0)-I781</f>
        <v>15065</v>
      </c>
      <c r="K781" s="11" t="n">
        <f aca="false">MIN(IF(A781&gt;0,Calculator!$B$13,0)+E781+Calculator!$B$14,'Tax Tables'!$B$36)</f>
        <v>1000</v>
      </c>
      <c r="L781" s="11" t="n">
        <f aca="false">MAX(A781-K781,0)</f>
        <v>383000</v>
      </c>
      <c r="M781" s="11" t="n">
        <f aca="false">SUMPRODUCT((L781&gt;'Tax Tables'!$A$5:$A$17)*(L781-'Tax Tables'!$A$5:$A$17)*'Tax Tables'!$C$5:$C$17)</f>
        <v>58410</v>
      </c>
      <c r="N781" s="11" t="n">
        <f aca="false">IF(H781&lt;0,-1E+099,A781-E781-M781+J781+(E781+F781)*Calculator!$B$9)</f>
        <v>340655</v>
      </c>
      <c r="O781" s="2"/>
      <c r="P781" s="11" t="n">
        <f aca="false">768*$B$3</f>
        <v>384000</v>
      </c>
      <c r="Q781" s="11" t="n">
        <f aca="false">MIN(P781,'Tax Tables'!$B$31*'Tax Tables'!$B$32)</f>
        <v>96000</v>
      </c>
      <c r="R781" s="11" t="n">
        <f aca="false">P781-Q781</f>
        <v>288000</v>
      </c>
      <c r="S781" s="11" t="n">
        <f aca="false">IF(Calculator!$B$6="Yes",MIN(Q781,'Tax Tables'!$B$31*'Tax Tables'!$B$32),0)</f>
        <v>96000</v>
      </c>
      <c r="T781" s="11" t="n">
        <f aca="false">S781*Calculator!$B$7</f>
        <v>19200</v>
      </c>
      <c r="U781" s="11" t="n">
        <f aca="false">S781*Calculator!$B$8</f>
        <v>16320</v>
      </c>
      <c r="V781" s="11" t="n">
        <f aca="false">IF(Q781&gt;0,'Tax Tables'!$B$32*MIN(MAX(Q781/'Tax Tables'!$B$32*'Tax Tables'!$B$33,'Tax Tables'!$B$34),'Tax Tables'!$B$35),0)</f>
        <v>135</v>
      </c>
      <c r="W781" s="11" t="n">
        <f aca="false">Calculator!$B$5-P781-U781-V781</f>
        <v>-455.000000000002</v>
      </c>
      <c r="X781" s="11" t="n">
        <f aca="false">'Tax Tables'!$B$22*(MAX(W781,0)-IF(Calculator!$B$10="Yes",MIN(MAX(W781,0),'Tax Tables'!$B$27)*'Tax Tables'!$B$28+MIN(MAX(MAX(W781,0)-'Tax Tables'!$B$27,0),'Tax Tables'!$B$29)*'Tax Tables'!$B$30,MIN(MAX(W781,0),'Tax Tables'!$B$23)*'Tax Tables'!$B$24+MIN(MAX(MAX(W781,0)-'Tax Tables'!$B$23,0),'Tax Tables'!$B$25)*'Tax Tables'!$B$26))*1-MIN('Tax Tables'!$B$22*(MAX(W781,0)-IF(Calculator!$B$10="Yes",MIN(MAX(W781,0),'Tax Tables'!$B$27)*'Tax Tables'!$B$28+MIN(MAX(MAX(W781,0)-'Tax Tables'!$B$27,0),'Tax Tables'!$B$29)*'Tax Tables'!$B$30,MIN(MAX(W781,0),'Tax Tables'!$B$23)*'Tax Tables'!$B$24+MIN(MAX(MAX(W781,0)-'Tax Tables'!$B$23,0),'Tax Tables'!$B$25)*'Tax Tables'!$B$26))*Calculator!$B$11,Calculator!$B$12)</f>
        <v>0</v>
      </c>
      <c r="Y781" s="11" t="n">
        <f aca="false">MAX(W781,0)-X781</f>
        <v>0</v>
      </c>
      <c r="Z781" s="11" t="n">
        <f aca="false">MIN(IF(P781&gt;0,Calculator!$B$13,0)+T781+Calculator!$B$14,'Tax Tables'!$B$36)</f>
        <v>20200</v>
      </c>
      <c r="AA781" s="11" t="n">
        <f aca="false">MAX(P781-Z781,0)</f>
        <v>363800</v>
      </c>
      <c r="AB781" s="11" t="n">
        <f aca="false">SUMPRODUCT((AA781&gt;'Tax Tables'!$A$5:$A$17)*(AA781-'Tax Tables'!$A$5:$A$17)*'Tax Tables'!$C$5:$C$17)</f>
        <v>54186</v>
      </c>
      <c r="AC781" s="11" t="n">
        <f aca="false">IF(W781&lt;0,-1E+099,P781-T781-AB781+Y781+(T781+U781)*Calculator!$B$9)</f>
        <v>-1E+099</v>
      </c>
    </row>
    <row r="782" customFormat="false" ht="15" hidden="false" customHeight="false" outlineLevel="0" collapsed="false">
      <c r="A782" s="11" t="n">
        <f aca="false">769*$B$3</f>
        <v>384500</v>
      </c>
      <c r="B782" s="11" t="n">
        <f aca="false">0</f>
        <v>0</v>
      </c>
      <c r="C782" s="11" t="n">
        <f aca="false">A782-B782</f>
        <v>384500</v>
      </c>
      <c r="D782" s="11" t="n">
        <f aca="false">IF(Calculator!$B$6="Yes",MIN(B782,'Tax Tables'!$B$31*'Tax Tables'!$B$32),0)</f>
        <v>0</v>
      </c>
      <c r="E782" s="11" t="n">
        <f aca="false">D782*Calculator!$B$7</f>
        <v>0</v>
      </c>
      <c r="F782" s="11" t="n">
        <f aca="false">D782*Calculator!$B$8</f>
        <v>0</v>
      </c>
      <c r="G782" s="11" t="n">
        <f aca="false">IF(B782&gt;0,'Tax Tables'!$B$32*MIN(MAX(B782/'Tax Tables'!$B$32*'Tax Tables'!$B$33,'Tax Tables'!$B$34),'Tax Tables'!$B$35),0)</f>
        <v>0</v>
      </c>
      <c r="H782" s="11" t="n">
        <f aca="false">Calculator!$B$5-A782-F782-G782</f>
        <v>15500</v>
      </c>
      <c r="I782" s="11" t="n">
        <f aca="false">'Tax Tables'!$B$22*(MAX(H782,0)-IF(Calculator!$B$10="Yes",MIN(MAX(H782,0),'Tax Tables'!$B$27)*'Tax Tables'!$B$28+MIN(MAX(MAX(H782,0)-'Tax Tables'!$B$27,0),'Tax Tables'!$B$29)*'Tax Tables'!$B$30,MIN(MAX(H782,0),'Tax Tables'!$B$23)*'Tax Tables'!$B$24+MIN(MAX(MAX(H782,0)-'Tax Tables'!$B$23,0),'Tax Tables'!$B$25)*'Tax Tables'!$B$26))*1-MIN('Tax Tables'!$B$22*(MAX(H782,0)-IF(Calculator!$B$10="Yes",MIN(MAX(H782,0),'Tax Tables'!$B$27)*'Tax Tables'!$B$28+MIN(MAX(MAX(H782,0)-'Tax Tables'!$B$27,0),'Tax Tables'!$B$29)*'Tax Tables'!$B$30,MIN(MAX(H782,0),'Tax Tables'!$B$23)*'Tax Tables'!$B$24+MIN(MAX(MAX(H782,0)-'Tax Tables'!$B$23,0),'Tax Tables'!$B$25)*'Tax Tables'!$B$26))*Calculator!$B$11,Calculator!$B$12)</f>
        <v>892.5</v>
      </c>
      <c r="J782" s="11" t="n">
        <f aca="false">MAX(H782,0)-I782</f>
        <v>14607.5</v>
      </c>
      <c r="K782" s="11" t="n">
        <f aca="false">MIN(IF(A782&gt;0,Calculator!$B$13,0)+E782+Calculator!$B$14,'Tax Tables'!$B$36)</f>
        <v>1000</v>
      </c>
      <c r="L782" s="11" t="n">
        <f aca="false">MAX(A782-K782,0)</f>
        <v>383500</v>
      </c>
      <c r="M782" s="11" t="n">
        <f aca="false">SUMPRODUCT((L782&gt;'Tax Tables'!$A$5:$A$17)*(L782-'Tax Tables'!$A$5:$A$17)*'Tax Tables'!$C$5:$C$17)</f>
        <v>58520</v>
      </c>
      <c r="N782" s="11" t="n">
        <f aca="false">IF(H782&lt;0,-1E+099,A782-E782-M782+J782+(E782+F782)*Calculator!$B$9)</f>
        <v>340587.5</v>
      </c>
      <c r="O782" s="2"/>
      <c r="P782" s="11" t="n">
        <f aca="false">769*$B$3</f>
        <v>384500</v>
      </c>
      <c r="Q782" s="11" t="n">
        <f aca="false">MIN(P782,'Tax Tables'!$B$31*'Tax Tables'!$B$32)</f>
        <v>96000</v>
      </c>
      <c r="R782" s="11" t="n">
        <f aca="false">P782-Q782</f>
        <v>288500</v>
      </c>
      <c r="S782" s="11" t="n">
        <f aca="false">IF(Calculator!$B$6="Yes",MIN(Q782,'Tax Tables'!$B$31*'Tax Tables'!$B$32),0)</f>
        <v>96000</v>
      </c>
      <c r="T782" s="11" t="n">
        <f aca="false">S782*Calculator!$B$7</f>
        <v>19200</v>
      </c>
      <c r="U782" s="11" t="n">
        <f aca="false">S782*Calculator!$B$8</f>
        <v>16320</v>
      </c>
      <c r="V782" s="11" t="n">
        <f aca="false">IF(Q782&gt;0,'Tax Tables'!$B$32*MIN(MAX(Q782/'Tax Tables'!$B$32*'Tax Tables'!$B$33,'Tax Tables'!$B$34),'Tax Tables'!$B$35),0)</f>
        <v>135</v>
      </c>
      <c r="W782" s="11" t="n">
        <f aca="false">Calculator!$B$5-P782-U782-V782</f>
        <v>-955.000000000002</v>
      </c>
      <c r="X782" s="11" t="n">
        <f aca="false">'Tax Tables'!$B$22*(MAX(W782,0)-IF(Calculator!$B$10="Yes",MIN(MAX(W782,0),'Tax Tables'!$B$27)*'Tax Tables'!$B$28+MIN(MAX(MAX(W782,0)-'Tax Tables'!$B$27,0),'Tax Tables'!$B$29)*'Tax Tables'!$B$30,MIN(MAX(W782,0),'Tax Tables'!$B$23)*'Tax Tables'!$B$24+MIN(MAX(MAX(W782,0)-'Tax Tables'!$B$23,0),'Tax Tables'!$B$25)*'Tax Tables'!$B$26))*1-MIN('Tax Tables'!$B$22*(MAX(W782,0)-IF(Calculator!$B$10="Yes",MIN(MAX(W782,0),'Tax Tables'!$B$27)*'Tax Tables'!$B$28+MIN(MAX(MAX(W782,0)-'Tax Tables'!$B$27,0),'Tax Tables'!$B$29)*'Tax Tables'!$B$30,MIN(MAX(W782,0),'Tax Tables'!$B$23)*'Tax Tables'!$B$24+MIN(MAX(MAX(W782,0)-'Tax Tables'!$B$23,0),'Tax Tables'!$B$25)*'Tax Tables'!$B$26))*Calculator!$B$11,Calculator!$B$12)</f>
        <v>0</v>
      </c>
      <c r="Y782" s="11" t="n">
        <f aca="false">MAX(W782,0)-X782</f>
        <v>0</v>
      </c>
      <c r="Z782" s="11" t="n">
        <f aca="false">MIN(IF(P782&gt;0,Calculator!$B$13,0)+T782+Calculator!$B$14,'Tax Tables'!$B$36)</f>
        <v>20200</v>
      </c>
      <c r="AA782" s="11" t="n">
        <f aca="false">MAX(P782-Z782,0)</f>
        <v>364300</v>
      </c>
      <c r="AB782" s="11" t="n">
        <f aca="false">SUMPRODUCT((AA782&gt;'Tax Tables'!$A$5:$A$17)*(AA782-'Tax Tables'!$A$5:$A$17)*'Tax Tables'!$C$5:$C$17)</f>
        <v>54296</v>
      </c>
      <c r="AC782" s="11" t="n">
        <f aca="false">IF(W782&lt;0,-1E+099,P782-T782-AB782+Y782+(T782+U782)*Calculator!$B$9)</f>
        <v>-1E+099</v>
      </c>
    </row>
    <row r="783" customFormat="false" ht="15" hidden="false" customHeight="false" outlineLevel="0" collapsed="false">
      <c r="A783" s="11" t="n">
        <f aca="false">770*$B$3</f>
        <v>385000</v>
      </c>
      <c r="B783" s="11" t="n">
        <f aca="false">0</f>
        <v>0</v>
      </c>
      <c r="C783" s="11" t="n">
        <f aca="false">A783-B783</f>
        <v>385000</v>
      </c>
      <c r="D783" s="11" t="n">
        <f aca="false">IF(Calculator!$B$6="Yes",MIN(B783,'Tax Tables'!$B$31*'Tax Tables'!$B$32),0)</f>
        <v>0</v>
      </c>
      <c r="E783" s="11" t="n">
        <f aca="false">D783*Calculator!$B$7</f>
        <v>0</v>
      </c>
      <c r="F783" s="11" t="n">
        <f aca="false">D783*Calculator!$B$8</f>
        <v>0</v>
      </c>
      <c r="G783" s="11" t="n">
        <f aca="false">IF(B783&gt;0,'Tax Tables'!$B$32*MIN(MAX(B783/'Tax Tables'!$B$32*'Tax Tables'!$B$33,'Tax Tables'!$B$34),'Tax Tables'!$B$35),0)</f>
        <v>0</v>
      </c>
      <c r="H783" s="11" t="n">
        <f aca="false">Calculator!$B$5-A783-F783-G783</f>
        <v>15000</v>
      </c>
      <c r="I783" s="11" t="n">
        <f aca="false">'Tax Tables'!$B$22*(MAX(H783,0)-IF(Calculator!$B$10="Yes",MIN(MAX(H783,0),'Tax Tables'!$B$27)*'Tax Tables'!$B$28+MIN(MAX(MAX(H783,0)-'Tax Tables'!$B$27,0),'Tax Tables'!$B$29)*'Tax Tables'!$B$30,MIN(MAX(H783,0),'Tax Tables'!$B$23)*'Tax Tables'!$B$24+MIN(MAX(MAX(H783,0)-'Tax Tables'!$B$23,0),'Tax Tables'!$B$25)*'Tax Tables'!$B$26))*1-MIN('Tax Tables'!$B$22*(MAX(H783,0)-IF(Calculator!$B$10="Yes",MIN(MAX(H783,0),'Tax Tables'!$B$27)*'Tax Tables'!$B$28+MIN(MAX(MAX(H783,0)-'Tax Tables'!$B$27,0),'Tax Tables'!$B$29)*'Tax Tables'!$B$30,MIN(MAX(H783,0),'Tax Tables'!$B$23)*'Tax Tables'!$B$24+MIN(MAX(MAX(H783,0)-'Tax Tables'!$B$23,0),'Tax Tables'!$B$25)*'Tax Tables'!$B$26))*Calculator!$B$11,Calculator!$B$12)</f>
        <v>850</v>
      </c>
      <c r="J783" s="11" t="n">
        <f aca="false">MAX(H783,0)-I783</f>
        <v>14150</v>
      </c>
      <c r="K783" s="11" t="n">
        <f aca="false">MIN(IF(A783&gt;0,Calculator!$B$13,0)+E783+Calculator!$B$14,'Tax Tables'!$B$36)</f>
        <v>1000</v>
      </c>
      <c r="L783" s="11" t="n">
        <f aca="false">MAX(A783-K783,0)</f>
        <v>384000</v>
      </c>
      <c r="M783" s="11" t="n">
        <f aca="false">SUMPRODUCT((L783&gt;'Tax Tables'!$A$5:$A$17)*(L783-'Tax Tables'!$A$5:$A$17)*'Tax Tables'!$C$5:$C$17)</f>
        <v>58630</v>
      </c>
      <c r="N783" s="11" t="n">
        <f aca="false">IF(H783&lt;0,-1E+099,A783-E783-M783+J783+(E783+F783)*Calculator!$B$9)</f>
        <v>340520</v>
      </c>
      <c r="O783" s="2"/>
      <c r="P783" s="11" t="n">
        <f aca="false">770*$B$3</f>
        <v>385000</v>
      </c>
      <c r="Q783" s="11" t="n">
        <f aca="false">MIN(P783,'Tax Tables'!$B$31*'Tax Tables'!$B$32)</f>
        <v>96000</v>
      </c>
      <c r="R783" s="11" t="n">
        <f aca="false">P783-Q783</f>
        <v>289000</v>
      </c>
      <c r="S783" s="11" t="n">
        <f aca="false">IF(Calculator!$B$6="Yes",MIN(Q783,'Tax Tables'!$B$31*'Tax Tables'!$B$32),0)</f>
        <v>96000</v>
      </c>
      <c r="T783" s="11" t="n">
        <f aca="false">S783*Calculator!$B$7</f>
        <v>19200</v>
      </c>
      <c r="U783" s="11" t="n">
        <f aca="false">S783*Calculator!$B$8</f>
        <v>16320</v>
      </c>
      <c r="V783" s="11" t="n">
        <f aca="false">IF(Q783&gt;0,'Tax Tables'!$B$32*MIN(MAX(Q783/'Tax Tables'!$B$32*'Tax Tables'!$B$33,'Tax Tables'!$B$34),'Tax Tables'!$B$35),0)</f>
        <v>135</v>
      </c>
      <c r="W783" s="11" t="n">
        <f aca="false">Calculator!$B$5-P783-U783-V783</f>
        <v>-1455</v>
      </c>
      <c r="X783" s="11" t="n">
        <f aca="false">'Tax Tables'!$B$22*(MAX(W783,0)-IF(Calculator!$B$10="Yes",MIN(MAX(W783,0),'Tax Tables'!$B$27)*'Tax Tables'!$B$28+MIN(MAX(MAX(W783,0)-'Tax Tables'!$B$27,0),'Tax Tables'!$B$29)*'Tax Tables'!$B$30,MIN(MAX(W783,0),'Tax Tables'!$B$23)*'Tax Tables'!$B$24+MIN(MAX(MAX(W783,0)-'Tax Tables'!$B$23,0),'Tax Tables'!$B$25)*'Tax Tables'!$B$26))*1-MIN('Tax Tables'!$B$22*(MAX(W783,0)-IF(Calculator!$B$10="Yes",MIN(MAX(W783,0),'Tax Tables'!$B$27)*'Tax Tables'!$B$28+MIN(MAX(MAX(W783,0)-'Tax Tables'!$B$27,0),'Tax Tables'!$B$29)*'Tax Tables'!$B$30,MIN(MAX(W783,0),'Tax Tables'!$B$23)*'Tax Tables'!$B$24+MIN(MAX(MAX(W783,0)-'Tax Tables'!$B$23,0),'Tax Tables'!$B$25)*'Tax Tables'!$B$26))*Calculator!$B$11,Calculator!$B$12)</f>
        <v>0</v>
      </c>
      <c r="Y783" s="11" t="n">
        <f aca="false">MAX(W783,0)-X783</f>
        <v>0</v>
      </c>
      <c r="Z783" s="11" t="n">
        <f aca="false">MIN(IF(P783&gt;0,Calculator!$B$13,0)+T783+Calculator!$B$14,'Tax Tables'!$B$36)</f>
        <v>20200</v>
      </c>
      <c r="AA783" s="11" t="n">
        <f aca="false">MAX(P783-Z783,0)</f>
        <v>364800</v>
      </c>
      <c r="AB783" s="11" t="n">
        <f aca="false">SUMPRODUCT((AA783&gt;'Tax Tables'!$A$5:$A$17)*(AA783-'Tax Tables'!$A$5:$A$17)*'Tax Tables'!$C$5:$C$17)</f>
        <v>54406</v>
      </c>
      <c r="AC783" s="11" t="n">
        <f aca="false">IF(W783&lt;0,-1E+099,P783-T783-AB783+Y783+(T783+U783)*Calculator!$B$9)</f>
        <v>-1E+099</v>
      </c>
    </row>
    <row r="784" customFormat="false" ht="15" hidden="false" customHeight="false" outlineLevel="0" collapsed="false">
      <c r="A784" s="11" t="n">
        <f aca="false">771*$B$3</f>
        <v>385500</v>
      </c>
      <c r="B784" s="11" t="n">
        <f aca="false">0</f>
        <v>0</v>
      </c>
      <c r="C784" s="11" t="n">
        <f aca="false">A784-B784</f>
        <v>385500</v>
      </c>
      <c r="D784" s="11" t="n">
        <f aca="false">IF(Calculator!$B$6="Yes",MIN(B784,'Tax Tables'!$B$31*'Tax Tables'!$B$32),0)</f>
        <v>0</v>
      </c>
      <c r="E784" s="11" t="n">
        <f aca="false">D784*Calculator!$B$7</f>
        <v>0</v>
      </c>
      <c r="F784" s="11" t="n">
        <f aca="false">D784*Calculator!$B$8</f>
        <v>0</v>
      </c>
      <c r="G784" s="11" t="n">
        <f aca="false">IF(B784&gt;0,'Tax Tables'!$B$32*MIN(MAX(B784/'Tax Tables'!$B$32*'Tax Tables'!$B$33,'Tax Tables'!$B$34),'Tax Tables'!$B$35),0)</f>
        <v>0</v>
      </c>
      <c r="H784" s="11" t="n">
        <f aca="false">Calculator!$B$5-A784-F784-G784</f>
        <v>14500</v>
      </c>
      <c r="I784" s="11" t="n">
        <f aca="false">'Tax Tables'!$B$22*(MAX(H784,0)-IF(Calculator!$B$10="Yes",MIN(MAX(H784,0),'Tax Tables'!$B$27)*'Tax Tables'!$B$28+MIN(MAX(MAX(H784,0)-'Tax Tables'!$B$27,0),'Tax Tables'!$B$29)*'Tax Tables'!$B$30,MIN(MAX(H784,0),'Tax Tables'!$B$23)*'Tax Tables'!$B$24+MIN(MAX(MAX(H784,0)-'Tax Tables'!$B$23,0),'Tax Tables'!$B$25)*'Tax Tables'!$B$26))*1-MIN('Tax Tables'!$B$22*(MAX(H784,0)-IF(Calculator!$B$10="Yes",MIN(MAX(H784,0),'Tax Tables'!$B$27)*'Tax Tables'!$B$28+MIN(MAX(MAX(H784,0)-'Tax Tables'!$B$27,0),'Tax Tables'!$B$29)*'Tax Tables'!$B$30,MIN(MAX(H784,0),'Tax Tables'!$B$23)*'Tax Tables'!$B$24+MIN(MAX(MAX(H784,0)-'Tax Tables'!$B$23,0),'Tax Tables'!$B$25)*'Tax Tables'!$B$26))*Calculator!$B$11,Calculator!$B$12)</f>
        <v>807.5</v>
      </c>
      <c r="J784" s="11" t="n">
        <f aca="false">MAX(H784,0)-I784</f>
        <v>13692.5</v>
      </c>
      <c r="K784" s="11" t="n">
        <f aca="false">MIN(IF(A784&gt;0,Calculator!$B$13,0)+E784+Calculator!$B$14,'Tax Tables'!$B$36)</f>
        <v>1000</v>
      </c>
      <c r="L784" s="11" t="n">
        <f aca="false">MAX(A784-K784,0)</f>
        <v>384500</v>
      </c>
      <c r="M784" s="11" t="n">
        <f aca="false">SUMPRODUCT((L784&gt;'Tax Tables'!$A$5:$A$17)*(L784-'Tax Tables'!$A$5:$A$17)*'Tax Tables'!$C$5:$C$17)</f>
        <v>58740</v>
      </c>
      <c r="N784" s="11" t="n">
        <f aca="false">IF(H784&lt;0,-1E+099,A784-E784-M784+J784+(E784+F784)*Calculator!$B$9)</f>
        <v>340452.5</v>
      </c>
      <c r="O784" s="2"/>
      <c r="P784" s="11" t="n">
        <f aca="false">771*$B$3</f>
        <v>385500</v>
      </c>
      <c r="Q784" s="11" t="n">
        <f aca="false">MIN(P784,'Tax Tables'!$B$31*'Tax Tables'!$B$32)</f>
        <v>96000</v>
      </c>
      <c r="R784" s="11" t="n">
        <f aca="false">P784-Q784</f>
        <v>289500</v>
      </c>
      <c r="S784" s="11" t="n">
        <f aca="false">IF(Calculator!$B$6="Yes",MIN(Q784,'Tax Tables'!$B$31*'Tax Tables'!$B$32),0)</f>
        <v>96000</v>
      </c>
      <c r="T784" s="11" t="n">
        <f aca="false">S784*Calculator!$B$7</f>
        <v>19200</v>
      </c>
      <c r="U784" s="11" t="n">
        <f aca="false">S784*Calculator!$B$8</f>
        <v>16320</v>
      </c>
      <c r="V784" s="11" t="n">
        <f aca="false">IF(Q784&gt;0,'Tax Tables'!$B$32*MIN(MAX(Q784/'Tax Tables'!$B$32*'Tax Tables'!$B$33,'Tax Tables'!$B$34),'Tax Tables'!$B$35),0)</f>
        <v>135</v>
      </c>
      <c r="W784" s="11" t="n">
        <f aca="false">Calculator!$B$5-P784-U784-V784</f>
        <v>-1955</v>
      </c>
      <c r="X784" s="11" t="n">
        <f aca="false">'Tax Tables'!$B$22*(MAX(W784,0)-IF(Calculator!$B$10="Yes",MIN(MAX(W784,0),'Tax Tables'!$B$27)*'Tax Tables'!$B$28+MIN(MAX(MAX(W784,0)-'Tax Tables'!$B$27,0),'Tax Tables'!$B$29)*'Tax Tables'!$B$30,MIN(MAX(W784,0),'Tax Tables'!$B$23)*'Tax Tables'!$B$24+MIN(MAX(MAX(W784,0)-'Tax Tables'!$B$23,0),'Tax Tables'!$B$25)*'Tax Tables'!$B$26))*1-MIN('Tax Tables'!$B$22*(MAX(W784,0)-IF(Calculator!$B$10="Yes",MIN(MAX(W784,0),'Tax Tables'!$B$27)*'Tax Tables'!$B$28+MIN(MAX(MAX(W784,0)-'Tax Tables'!$B$27,0),'Tax Tables'!$B$29)*'Tax Tables'!$B$30,MIN(MAX(W784,0),'Tax Tables'!$B$23)*'Tax Tables'!$B$24+MIN(MAX(MAX(W784,0)-'Tax Tables'!$B$23,0),'Tax Tables'!$B$25)*'Tax Tables'!$B$26))*Calculator!$B$11,Calculator!$B$12)</f>
        <v>0</v>
      </c>
      <c r="Y784" s="11" t="n">
        <f aca="false">MAX(W784,0)-X784</f>
        <v>0</v>
      </c>
      <c r="Z784" s="11" t="n">
        <f aca="false">MIN(IF(P784&gt;0,Calculator!$B$13,0)+T784+Calculator!$B$14,'Tax Tables'!$B$36)</f>
        <v>20200</v>
      </c>
      <c r="AA784" s="11" t="n">
        <f aca="false">MAX(P784-Z784,0)</f>
        <v>365300</v>
      </c>
      <c r="AB784" s="11" t="n">
        <f aca="false">SUMPRODUCT((AA784&gt;'Tax Tables'!$A$5:$A$17)*(AA784-'Tax Tables'!$A$5:$A$17)*'Tax Tables'!$C$5:$C$17)</f>
        <v>54516</v>
      </c>
      <c r="AC784" s="11" t="n">
        <f aca="false">IF(W784&lt;0,-1E+099,P784-T784-AB784+Y784+(T784+U784)*Calculator!$B$9)</f>
        <v>-1E+099</v>
      </c>
    </row>
    <row r="785" customFormat="false" ht="15" hidden="false" customHeight="false" outlineLevel="0" collapsed="false">
      <c r="A785" s="11" t="n">
        <f aca="false">772*$B$3</f>
        <v>386000</v>
      </c>
      <c r="B785" s="11" t="n">
        <f aca="false">0</f>
        <v>0</v>
      </c>
      <c r="C785" s="11" t="n">
        <f aca="false">A785-B785</f>
        <v>386000</v>
      </c>
      <c r="D785" s="11" t="n">
        <f aca="false">IF(Calculator!$B$6="Yes",MIN(B785,'Tax Tables'!$B$31*'Tax Tables'!$B$32),0)</f>
        <v>0</v>
      </c>
      <c r="E785" s="11" t="n">
        <f aca="false">D785*Calculator!$B$7</f>
        <v>0</v>
      </c>
      <c r="F785" s="11" t="n">
        <f aca="false">D785*Calculator!$B$8</f>
        <v>0</v>
      </c>
      <c r="G785" s="11" t="n">
        <f aca="false">IF(B785&gt;0,'Tax Tables'!$B$32*MIN(MAX(B785/'Tax Tables'!$B$32*'Tax Tables'!$B$33,'Tax Tables'!$B$34),'Tax Tables'!$B$35),0)</f>
        <v>0</v>
      </c>
      <c r="H785" s="11" t="n">
        <f aca="false">Calculator!$B$5-A785-F785-G785</f>
        <v>14000</v>
      </c>
      <c r="I785" s="11" t="n">
        <f aca="false">'Tax Tables'!$B$22*(MAX(H785,0)-IF(Calculator!$B$10="Yes",MIN(MAX(H785,0),'Tax Tables'!$B$27)*'Tax Tables'!$B$28+MIN(MAX(MAX(H785,0)-'Tax Tables'!$B$27,0),'Tax Tables'!$B$29)*'Tax Tables'!$B$30,MIN(MAX(H785,0),'Tax Tables'!$B$23)*'Tax Tables'!$B$24+MIN(MAX(MAX(H785,0)-'Tax Tables'!$B$23,0),'Tax Tables'!$B$25)*'Tax Tables'!$B$26))*1-MIN('Tax Tables'!$B$22*(MAX(H785,0)-IF(Calculator!$B$10="Yes",MIN(MAX(H785,0),'Tax Tables'!$B$27)*'Tax Tables'!$B$28+MIN(MAX(MAX(H785,0)-'Tax Tables'!$B$27,0),'Tax Tables'!$B$29)*'Tax Tables'!$B$30,MIN(MAX(H785,0),'Tax Tables'!$B$23)*'Tax Tables'!$B$24+MIN(MAX(MAX(H785,0)-'Tax Tables'!$B$23,0),'Tax Tables'!$B$25)*'Tax Tables'!$B$26))*Calculator!$B$11,Calculator!$B$12)</f>
        <v>765</v>
      </c>
      <c r="J785" s="11" t="n">
        <f aca="false">MAX(H785,0)-I785</f>
        <v>13235</v>
      </c>
      <c r="K785" s="11" t="n">
        <f aca="false">MIN(IF(A785&gt;0,Calculator!$B$13,0)+E785+Calculator!$B$14,'Tax Tables'!$B$36)</f>
        <v>1000</v>
      </c>
      <c r="L785" s="11" t="n">
        <f aca="false">MAX(A785-K785,0)</f>
        <v>385000</v>
      </c>
      <c r="M785" s="11" t="n">
        <f aca="false">SUMPRODUCT((L785&gt;'Tax Tables'!$A$5:$A$17)*(L785-'Tax Tables'!$A$5:$A$17)*'Tax Tables'!$C$5:$C$17)</f>
        <v>58850</v>
      </c>
      <c r="N785" s="11" t="n">
        <f aca="false">IF(H785&lt;0,-1E+099,A785-E785-M785+J785+(E785+F785)*Calculator!$B$9)</f>
        <v>340385</v>
      </c>
      <c r="O785" s="2"/>
      <c r="P785" s="11" t="n">
        <f aca="false">772*$B$3</f>
        <v>386000</v>
      </c>
      <c r="Q785" s="11" t="n">
        <f aca="false">MIN(P785,'Tax Tables'!$B$31*'Tax Tables'!$B$32)</f>
        <v>96000</v>
      </c>
      <c r="R785" s="11" t="n">
        <f aca="false">P785-Q785</f>
        <v>290000</v>
      </c>
      <c r="S785" s="11" t="n">
        <f aca="false">IF(Calculator!$B$6="Yes",MIN(Q785,'Tax Tables'!$B$31*'Tax Tables'!$B$32),0)</f>
        <v>96000</v>
      </c>
      <c r="T785" s="11" t="n">
        <f aca="false">S785*Calculator!$B$7</f>
        <v>19200</v>
      </c>
      <c r="U785" s="11" t="n">
        <f aca="false">S785*Calculator!$B$8</f>
        <v>16320</v>
      </c>
      <c r="V785" s="11" t="n">
        <f aca="false">IF(Q785&gt;0,'Tax Tables'!$B$32*MIN(MAX(Q785/'Tax Tables'!$B$32*'Tax Tables'!$B$33,'Tax Tables'!$B$34),'Tax Tables'!$B$35),0)</f>
        <v>135</v>
      </c>
      <c r="W785" s="11" t="n">
        <f aca="false">Calculator!$B$5-P785-U785-V785</f>
        <v>-2455</v>
      </c>
      <c r="X785" s="11" t="n">
        <f aca="false">'Tax Tables'!$B$22*(MAX(W785,0)-IF(Calculator!$B$10="Yes",MIN(MAX(W785,0),'Tax Tables'!$B$27)*'Tax Tables'!$B$28+MIN(MAX(MAX(W785,0)-'Tax Tables'!$B$27,0),'Tax Tables'!$B$29)*'Tax Tables'!$B$30,MIN(MAX(W785,0),'Tax Tables'!$B$23)*'Tax Tables'!$B$24+MIN(MAX(MAX(W785,0)-'Tax Tables'!$B$23,0),'Tax Tables'!$B$25)*'Tax Tables'!$B$26))*1-MIN('Tax Tables'!$B$22*(MAX(W785,0)-IF(Calculator!$B$10="Yes",MIN(MAX(W785,0),'Tax Tables'!$B$27)*'Tax Tables'!$B$28+MIN(MAX(MAX(W785,0)-'Tax Tables'!$B$27,0),'Tax Tables'!$B$29)*'Tax Tables'!$B$30,MIN(MAX(W785,0),'Tax Tables'!$B$23)*'Tax Tables'!$B$24+MIN(MAX(MAX(W785,0)-'Tax Tables'!$B$23,0),'Tax Tables'!$B$25)*'Tax Tables'!$B$26))*Calculator!$B$11,Calculator!$B$12)</f>
        <v>0</v>
      </c>
      <c r="Y785" s="11" t="n">
        <f aca="false">MAX(W785,0)-X785</f>
        <v>0</v>
      </c>
      <c r="Z785" s="11" t="n">
        <f aca="false">MIN(IF(P785&gt;0,Calculator!$B$13,0)+T785+Calculator!$B$14,'Tax Tables'!$B$36)</f>
        <v>20200</v>
      </c>
      <c r="AA785" s="11" t="n">
        <f aca="false">MAX(P785-Z785,0)</f>
        <v>365800</v>
      </c>
      <c r="AB785" s="11" t="n">
        <f aca="false">SUMPRODUCT((AA785&gt;'Tax Tables'!$A$5:$A$17)*(AA785-'Tax Tables'!$A$5:$A$17)*'Tax Tables'!$C$5:$C$17)</f>
        <v>54626</v>
      </c>
      <c r="AC785" s="11" t="n">
        <f aca="false">IF(W785&lt;0,-1E+099,P785-T785-AB785+Y785+(T785+U785)*Calculator!$B$9)</f>
        <v>-1E+099</v>
      </c>
    </row>
    <row r="786" customFormat="false" ht="15" hidden="false" customHeight="false" outlineLevel="0" collapsed="false">
      <c r="A786" s="11" t="n">
        <f aca="false">773*$B$3</f>
        <v>386500</v>
      </c>
      <c r="B786" s="11" t="n">
        <f aca="false">0</f>
        <v>0</v>
      </c>
      <c r="C786" s="11" t="n">
        <f aca="false">A786-B786</f>
        <v>386500</v>
      </c>
      <c r="D786" s="11" t="n">
        <f aca="false">IF(Calculator!$B$6="Yes",MIN(B786,'Tax Tables'!$B$31*'Tax Tables'!$B$32),0)</f>
        <v>0</v>
      </c>
      <c r="E786" s="11" t="n">
        <f aca="false">D786*Calculator!$B$7</f>
        <v>0</v>
      </c>
      <c r="F786" s="11" t="n">
        <f aca="false">D786*Calculator!$B$8</f>
        <v>0</v>
      </c>
      <c r="G786" s="11" t="n">
        <f aca="false">IF(B786&gt;0,'Tax Tables'!$B$32*MIN(MAX(B786/'Tax Tables'!$B$32*'Tax Tables'!$B$33,'Tax Tables'!$B$34),'Tax Tables'!$B$35),0)</f>
        <v>0</v>
      </c>
      <c r="H786" s="11" t="n">
        <f aca="false">Calculator!$B$5-A786-F786-G786</f>
        <v>13500</v>
      </c>
      <c r="I786" s="11" t="n">
        <f aca="false">'Tax Tables'!$B$22*(MAX(H786,0)-IF(Calculator!$B$10="Yes",MIN(MAX(H786,0),'Tax Tables'!$B$27)*'Tax Tables'!$B$28+MIN(MAX(MAX(H786,0)-'Tax Tables'!$B$27,0),'Tax Tables'!$B$29)*'Tax Tables'!$B$30,MIN(MAX(H786,0),'Tax Tables'!$B$23)*'Tax Tables'!$B$24+MIN(MAX(MAX(H786,0)-'Tax Tables'!$B$23,0),'Tax Tables'!$B$25)*'Tax Tables'!$B$26))*1-MIN('Tax Tables'!$B$22*(MAX(H786,0)-IF(Calculator!$B$10="Yes",MIN(MAX(H786,0),'Tax Tables'!$B$27)*'Tax Tables'!$B$28+MIN(MAX(MAX(H786,0)-'Tax Tables'!$B$27,0),'Tax Tables'!$B$29)*'Tax Tables'!$B$30,MIN(MAX(H786,0),'Tax Tables'!$B$23)*'Tax Tables'!$B$24+MIN(MAX(MAX(H786,0)-'Tax Tables'!$B$23,0),'Tax Tables'!$B$25)*'Tax Tables'!$B$26))*Calculator!$B$11,Calculator!$B$12)</f>
        <v>722.5</v>
      </c>
      <c r="J786" s="11" t="n">
        <f aca="false">MAX(H786,0)-I786</f>
        <v>12777.5</v>
      </c>
      <c r="K786" s="11" t="n">
        <f aca="false">MIN(IF(A786&gt;0,Calculator!$B$13,0)+E786+Calculator!$B$14,'Tax Tables'!$B$36)</f>
        <v>1000</v>
      </c>
      <c r="L786" s="11" t="n">
        <f aca="false">MAX(A786-K786,0)</f>
        <v>385500</v>
      </c>
      <c r="M786" s="11" t="n">
        <f aca="false">SUMPRODUCT((L786&gt;'Tax Tables'!$A$5:$A$17)*(L786-'Tax Tables'!$A$5:$A$17)*'Tax Tables'!$C$5:$C$17)</f>
        <v>58960</v>
      </c>
      <c r="N786" s="11" t="n">
        <f aca="false">IF(H786&lt;0,-1E+099,A786-E786-M786+J786+(E786+F786)*Calculator!$B$9)</f>
        <v>340317.5</v>
      </c>
      <c r="O786" s="2"/>
      <c r="P786" s="11" t="n">
        <f aca="false">773*$B$3</f>
        <v>386500</v>
      </c>
      <c r="Q786" s="11" t="n">
        <f aca="false">MIN(P786,'Tax Tables'!$B$31*'Tax Tables'!$B$32)</f>
        <v>96000</v>
      </c>
      <c r="R786" s="11" t="n">
        <f aca="false">P786-Q786</f>
        <v>290500</v>
      </c>
      <c r="S786" s="11" t="n">
        <f aca="false">IF(Calculator!$B$6="Yes",MIN(Q786,'Tax Tables'!$B$31*'Tax Tables'!$B$32),0)</f>
        <v>96000</v>
      </c>
      <c r="T786" s="11" t="n">
        <f aca="false">S786*Calculator!$B$7</f>
        <v>19200</v>
      </c>
      <c r="U786" s="11" t="n">
        <f aca="false">S786*Calculator!$B$8</f>
        <v>16320</v>
      </c>
      <c r="V786" s="11" t="n">
        <f aca="false">IF(Q786&gt;0,'Tax Tables'!$B$32*MIN(MAX(Q786/'Tax Tables'!$B$32*'Tax Tables'!$B$33,'Tax Tables'!$B$34),'Tax Tables'!$B$35),0)</f>
        <v>135</v>
      </c>
      <c r="W786" s="11" t="n">
        <f aca="false">Calculator!$B$5-P786-U786-V786</f>
        <v>-2955</v>
      </c>
      <c r="X786" s="11" t="n">
        <f aca="false">'Tax Tables'!$B$22*(MAX(W786,0)-IF(Calculator!$B$10="Yes",MIN(MAX(W786,0),'Tax Tables'!$B$27)*'Tax Tables'!$B$28+MIN(MAX(MAX(W786,0)-'Tax Tables'!$B$27,0),'Tax Tables'!$B$29)*'Tax Tables'!$B$30,MIN(MAX(W786,0),'Tax Tables'!$B$23)*'Tax Tables'!$B$24+MIN(MAX(MAX(W786,0)-'Tax Tables'!$B$23,0),'Tax Tables'!$B$25)*'Tax Tables'!$B$26))*1-MIN('Tax Tables'!$B$22*(MAX(W786,0)-IF(Calculator!$B$10="Yes",MIN(MAX(W786,0),'Tax Tables'!$B$27)*'Tax Tables'!$B$28+MIN(MAX(MAX(W786,0)-'Tax Tables'!$B$27,0),'Tax Tables'!$B$29)*'Tax Tables'!$B$30,MIN(MAX(W786,0),'Tax Tables'!$B$23)*'Tax Tables'!$B$24+MIN(MAX(MAX(W786,0)-'Tax Tables'!$B$23,0),'Tax Tables'!$B$25)*'Tax Tables'!$B$26))*Calculator!$B$11,Calculator!$B$12)</f>
        <v>0</v>
      </c>
      <c r="Y786" s="11" t="n">
        <f aca="false">MAX(W786,0)-X786</f>
        <v>0</v>
      </c>
      <c r="Z786" s="11" t="n">
        <f aca="false">MIN(IF(P786&gt;0,Calculator!$B$13,0)+T786+Calculator!$B$14,'Tax Tables'!$B$36)</f>
        <v>20200</v>
      </c>
      <c r="AA786" s="11" t="n">
        <f aca="false">MAX(P786-Z786,0)</f>
        <v>366300</v>
      </c>
      <c r="AB786" s="11" t="n">
        <f aca="false">SUMPRODUCT((AA786&gt;'Tax Tables'!$A$5:$A$17)*(AA786-'Tax Tables'!$A$5:$A$17)*'Tax Tables'!$C$5:$C$17)</f>
        <v>54736</v>
      </c>
      <c r="AC786" s="11" t="n">
        <f aca="false">IF(W786&lt;0,-1E+099,P786-T786-AB786+Y786+(T786+U786)*Calculator!$B$9)</f>
        <v>-1E+099</v>
      </c>
    </row>
    <row r="787" customFormat="false" ht="15" hidden="false" customHeight="false" outlineLevel="0" collapsed="false">
      <c r="A787" s="11" t="n">
        <f aca="false">774*$B$3</f>
        <v>387000</v>
      </c>
      <c r="B787" s="11" t="n">
        <f aca="false">0</f>
        <v>0</v>
      </c>
      <c r="C787" s="11" t="n">
        <f aca="false">A787-B787</f>
        <v>387000</v>
      </c>
      <c r="D787" s="11" t="n">
        <f aca="false">IF(Calculator!$B$6="Yes",MIN(B787,'Tax Tables'!$B$31*'Tax Tables'!$B$32),0)</f>
        <v>0</v>
      </c>
      <c r="E787" s="11" t="n">
        <f aca="false">D787*Calculator!$B$7</f>
        <v>0</v>
      </c>
      <c r="F787" s="11" t="n">
        <f aca="false">D787*Calculator!$B$8</f>
        <v>0</v>
      </c>
      <c r="G787" s="11" t="n">
        <f aca="false">IF(B787&gt;0,'Tax Tables'!$B$32*MIN(MAX(B787/'Tax Tables'!$B$32*'Tax Tables'!$B$33,'Tax Tables'!$B$34),'Tax Tables'!$B$35),0)</f>
        <v>0</v>
      </c>
      <c r="H787" s="11" t="n">
        <f aca="false">Calculator!$B$5-A787-F787-G787</f>
        <v>13000</v>
      </c>
      <c r="I787" s="11" t="n">
        <f aca="false">'Tax Tables'!$B$22*(MAX(H787,0)-IF(Calculator!$B$10="Yes",MIN(MAX(H787,0),'Tax Tables'!$B$27)*'Tax Tables'!$B$28+MIN(MAX(MAX(H787,0)-'Tax Tables'!$B$27,0),'Tax Tables'!$B$29)*'Tax Tables'!$B$30,MIN(MAX(H787,0),'Tax Tables'!$B$23)*'Tax Tables'!$B$24+MIN(MAX(MAX(H787,0)-'Tax Tables'!$B$23,0),'Tax Tables'!$B$25)*'Tax Tables'!$B$26))*1-MIN('Tax Tables'!$B$22*(MAX(H787,0)-IF(Calculator!$B$10="Yes",MIN(MAX(H787,0),'Tax Tables'!$B$27)*'Tax Tables'!$B$28+MIN(MAX(MAX(H787,0)-'Tax Tables'!$B$27,0),'Tax Tables'!$B$29)*'Tax Tables'!$B$30,MIN(MAX(H787,0),'Tax Tables'!$B$23)*'Tax Tables'!$B$24+MIN(MAX(MAX(H787,0)-'Tax Tables'!$B$23,0),'Tax Tables'!$B$25)*'Tax Tables'!$B$26))*Calculator!$B$11,Calculator!$B$12)</f>
        <v>680</v>
      </c>
      <c r="J787" s="11" t="n">
        <f aca="false">MAX(H787,0)-I787</f>
        <v>12320</v>
      </c>
      <c r="K787" s="11" t="n">
        <f aca="false">MIN(IF(A787&gt;0,Calculator!$B$13,0)+E787+Calculator!$B$14,'Tax Tables'!$B$36)</f>
        <v>1000</v>
      </c>
      <c r="L787" s="11" t="n">
        <f aca="false">MAX(A787-K787,0)</f>
        <v>386000</v>
      </c>
      <c r="M787" s="11" t="n">
        <f aca="false">SUMPRODUCT((L787&gt;'Tax Tables'!$A$5:$A$17)*(L787-'Tax Tables'!$A$5:$A$17)*'Tax Tables'!$C$5:$C$17)</f>
        <v>59070</v>
      </c>
      <c r="N787" s="11" t="n">
        <f aca="false">IF(H787&lt;0,-1E+099,A787-E787-M787+J787+(E787+F787)*Calculator!$B$9)</f>
        <v>340250</v>
      </c>
      <c r="O787" s="2"/>
      <c r="P787" s="11" t="n">
        <f aca="false">774*$B$3</f>
        <v>387000</v>
      </c>
      <c r="Q787" s="11" t="n">
        <f aca="false">MIN(P787,'Tax Tables'!$B$31*'Tax Tables'!$B$32)</f>
        <v>96000</v>
      </c>
      <c r="R787" s="11" t="n">
        <f aca="false">P787-Q787</f>
        <v>291000</v>
      </c>
      <c r="S787" s="11" t="n">
        <f aca="false">IF(Calculator!$B$6="Yes",MIN(Q787,'Tax Tables'!$B$31*'Tax Tables'!$B$32),0)</f>
        <v>96000</v>
      </c>
      <c r="T787" s="11" t="n">
        <f aca="false">S787*Calculator!$B$7</f>
        <v>19200</v>
      </c>
      <c r="U787" s="11" t="n">
        <f aca="false">S787*Calculator!$B$8</f>
        <v>16320</v>
      </c>
      <c r="V787" s="11" t="n">
        <f aca="false">IF(Q787&gt;0,'Tax Tables'!$B$32*MIN(MAX(Q787/'Tax Tables'!$B$32*'Tax Tables'!$B$33,'Tax Tables'!$B$34),'Tax Tables'!$B$35),0)</f>
        <v>135</v>
      </c>
      <c r="W787" s="11" t="n">
        <f aca="false">Calculator!$B$5-P787-U787-V787</f>
        <v>-3455</v>
      </c>
      <c r="X787" s="11" t="n">
        <f aca="false">'Tax Tables'!$B$22*(MAX(W787,0)-IF(Calculator!$B$10="Yes",MIN(MAX(W787,0),'Tax Tables'!$B$27)*'Tax Tables'!$B$28+MIN(MAX(MAX(W787,0)-'Tax Tables'!$B$27,0),'Tax Tables'!$B$29)*'Tax Tables'!$B$30,MIN(MAX(W787,0),'Tax Tables'!$B$23)*'Tax Tables'!$B$24+MIN(MAX(MAX(W787,0)-'Tax Tables'!$B$23,0),'Tax Tables'!$B$25)*'Tax Tables'!$B$26))*1-MIN('Tax Tables'!$B$22*(MAX(W787,0)-IF(Calculator!$B$10="Yes",MIN(MAX(W787,0),'Tax Tables'!$B$27)*'Tax Tables'!$B$28+MIN(MAX(MAX(W787,0)-'Tax Tables'!$B$27,0),'Tax Tables'!$B$29)*'Tax Tables'!$B$30,MIN(MAX(W787,0),'Tax Tables'!$B$23)*'Tax Tables'!$B$24+MIN(MAX(MAX(W787,0)-'Tax Tables'!$B$23,0),'Tax Tables'!$B$25)*'Tax Tables'!$B$26))*Calculator!$B$11,Calculator!$B$12)</f>
        <v>0</v>
      </c>
      <c r="Y787" s="11" t="n">
        <f aca="false">MAX(W787,0)-X787</f>
        <v>0</v>
      </c>
      <c r="Z787" s="11" t="n">
        <f aca="false">MIN(IF(P787&gt;0,Calculator!$B$13,0)+T787+Calculator!$B$14,'Tax Tables'!$B$36)</f>
        <v>20200</v>
      </c>
      <c r="AA787" s="11" t="n">
        <f aca="false">MAX(P787-Z787,0)</f>
        <v>366800</v>
      </c>
      <c r="AB787" s="11" t="n">
        <f aca="false">SUMPRODUCT((AA787&gt;'Tax Tables'!$A$5:$A$17)*(AA787-'Tax Tables'!$A$5:$A$17)*'Tax Tables'!$C$5:$C$17)</f>
        <v>54846</v>
      </c>
      <c r="AC787" s="11" t="n">
        <f aca="false">IF(W787&lt;0,-1E+099,P787-T787-AB787+Y787+(T787+U787)*Calculator!$B$9)</f>
        <v>-1E+099</v>
      </c>
    </row>
    <row r="788" customFormat="false" ht="15" hidden="false" customHeight="false" outlineLevel="0" collapsed="false">
      <c r="A788" s="11" t="n">
        <f aca="false">775*$B$3</f>
        <v>387500</v>
      </c>
      <c r="B788" s="11" t="n">
        <f aca="false">0</f>
        <v>0</v>
      </c>
      <c r="C788" s="11" t="n">
        <f aca="false">A788-B788</f>
        <v>387500</v>
      </c>
      <c r="D788" s="11" t="n">
        <f aca="false">IF(Calculator!$B$6="Yes",MIN(B788,'Tax Tables'!$B$31*'Tax Tables'!$B$32),0)</f>
        <v>0</v>
      </c>
      <c r="E788" s="11" t="n">
        <f aca="false">D788*Calculator!$B$7</f>
        <v>0</v>
      </c>
      <c r="F788" s="11" t="n">
        <f aca="false">D788*Calculator!$B$8</f>
        <v>0</v>
      </c>
      <c r="G788" s="11" t="n">
        <f aca="false">IF(B788&gt;0,'Tax Tables'!$B$32*MIN(MAX(B788/'Tax Tables'!$B$32*'Tax Tables'!$B$33,'Tax Tables'!$B$34),'Tax Tables'!$B$35),0)</f>
        <v>0</v>
      </c>
      <c r="H788" s="11" t="n">
        <f aca="false">Calculator!$B$5-A788-F788-G788</f>
        <v>12500</v>
      </c>
      <c r="I788" s="11" t="n">
        <f aca="false">'Tax Tables'!$B$22*(MAX(H788,0)-IF(Calculator!$B$10="Yes",MIN(MAX(H788,0),'Tax Tables'!$B$27)*'Tax Tables'!$B$28+MIN(MAX(MAX(H788,0)-'Tax Tables'!$B$27,0),'Tax Tables'!$B$29)*'Tax Tables'!$B$30,MIN(MAX(H788,0),'Tax Tables'!$B$23)*'Tax Tables'!$B$24+MIN(MAX(MAX(H788,0)-'Tax Tables'!$B$23,0),'Tax Tables'!$B$25)*'Tax Tables'!$B$26))*1-MIN('Tax Tables'!$B$22*(MAX(H788,0)-IF(Calculator!$B$10="Yes",MIN(MAX(H788,0),'Tax Tables'!$B$27)*'Tax Tables'!$B$28+MIN(MAX(MAX(H788,0)-'Tax Tables'!$B$27,0),'Tax Tables'!$B$29)*'Tax Tables'!$B$30,MIN(MAX(H788,0),'Tax Tables'!$B$23)*'Tax Tables'!$B$24+MIN(MAX(MAX(H788,0)-'Tax Tables'!$B$23,0),'Tax Tables'!$B$25)*'Tax Tables'!$B$26))*Calculator!$B$11,Calculator!$B$12)</f>
        <v>637.5</v>
      </c>
      <c r="J788" s="11" t="n">
        <f aca="false">MAX(H788,0)-I788</f>
        <v>11862.5</v>
      </c>
      <c r="K788" s="11" t="n">
        <f aca="false">MIN(IF(A788&gt;0,Calculator!$B$13,0)+E788+Calculator!$B$14,'Tax Tables'!$B$36)</f>
        <v>1000</v>
      </c>
      <c r="L788" s="11" t="n">
        <f aca="false">MAX(A788-K788,0)</f>
        <v>386500</v>
      </c>
      <c r="M788" s="11" t="n">
        <f aca="false">SUMPRODUCT((L788&gt;'Tax Tables'!$A$5:$A$17)*(L788-'Tax Tables'!$A$5:$A$17)*'Tax Tables'!$C$5:$C$17)</f>
        <v>59180</v>
      </c>
      <c r="N788" s="11" t="n">
        <f aca="false">IF(H788&lt;0,-1E+099,A788-E788-M788+J788+(E788+F788)*Calculator!$B$9)</f>
        <v>340182.5</v>
      </c>
      <c r="O788" s="2"/>
      <c r="P788" s="11" t="n">
        <f aca="false">775*$B$3</f>
        <v>387500</v>
      </c>
      <c r="Q788" s="11" t="n">
        <f aca="false">MIN(P788,'Tax Tables'!$B$31*'Tax Tables'!$B$32)</f>
        <v>96000</v>
      </c>
      <c r="R788" s="11" t="n">
        <f aca="false">P788-Q788</f>
        <v>291500</v>
      </c>
      <c r="S788" s="11" t="n">
        <f aca="false">IF(Calculator!$B$6="Yes",MIN(Q788,'Tax Tables'!$B$31*'Tax Tables'!$B$32),0)</f>
        <v>96000</v>
      </c>
      <c r="T788" s="11" t="n">
        <f aca="false">S788*Calculator!$B$7</f>
        <v>19200</v>
      </c>
      <c r="U788" s="11" t="n">
        <f aca="false">S788*Calculator!$B$8</f>
        <v>16320</v>
      </c>
      <c r="V788" s="11" t="n">
        <f aca="false">IF(Q788&gt;0,'Tax Tables'!$B$32*MIN(MAX(Q788/'Tax Tables'!$B$32*'Tax Tables'!$B$33,'Tax Tables'!$B$34),'Tax Tables'!$B$35),0)</f>
        <v>135</v>
      </c>
      <c r="W788" s="11" t="n">
        <f aca="false">Calculator!$B$5-P788-U788-V788</f>
        <v>-3955</v>
      </c>
      <c r="X788" s="11" t="n">
        <f aca="false">'Tax Tables'!$B$22*(MAX(W788,0)-IF(Calculator!$B$10="Yes",MIN(MAX(W788,0),'Tax Tables'!$B$27)*'Tax Tables'!$B$28+MIN(MAX(MAX(W788,0)-'Tax Tables'!$B$27,0),'Tax Tables'!$B$29)*'Tax Tables'!$B$30,MIN(MAX(W788,0),'Tax Tables'!$B$23)*'Tax Tables'!$B$24+MIN(MAX(MAX(W788,0)-'Tax Tables'!$B$23,0),'Tax Tables'!$B$25)*'Tax Tables'!$B$26))*1-MIN('Tax Tables'!$B$22*(MAX(W788,0)-IF(Calculator!$B$10="Yes",MIN(MAX(W788,0),'Tax Tables'!$B$27)*'Tax Tables'!$B$28+MIN(MAX(MAX(W788,0)-'Tax Tables'!$B$27,0),'Tax Tables'!$B$29)*'Tax Tables'!$B$30,MIN(MAX(W788,0),'Tax Tables'!$B$23)*'Tax Tables'!$B$24+MIN(MAX(MAX(W788,0)-'Tax Tables'!$B$23,0),'Tax Tables'!$B$25)*'Tax Tables'!$B$26))*Calculator!$B$11,Calculator!$B$12)</f>
        <v>0</v>
      </c>
      <c r="Y788" s="11" t="n">
        <f aca="false">MAX(W788,0)-X788</f>
        <v>0</v>
      </c>
      <c r="Z788" s="11" t="n">
        <f aca="false">MIN(IF(P788&gt;0,Calculator!$B$13,0)+T788+Calculator!$B$14,'Tax Tables'!$B$36)</f>
        <v>20200</v>
      </c>
      <c r="AA788" s="11" t="n">
        <f aca="false">MAX(P788-Z788,0)</f>
        <v>367300</v>
      </c>
      <c r="AB788" s="11" t="n">
        <f aca="false">SUMPRODUCT((AA788&gt;'Tax Tables'!$A$5:$A$17)*(AA788-'Tax Tables'!$A$5:$A$17)*'Tax Tables'!$C$5:$C$17)</f>
        <v>54956</v>
      </c>
      <c r="AC788" s="11" t="n">
        <f aca="false">IF(W788&lt;0,-1E+099,P788-T788-AB788+Y788+(T788+U788)*Calculator!$B$9)</f>
        <v>-1E+099</v>
      </c>
    </row>
    <row r="789" customFormat="false" ht="15" hidden="false" customHeight="false" outlineLevel="0" collapsed="false">
      <c r="A789" s="11" t="n">
        <f aca="false">776*$B$3</f>
        <v>388000</v>
      </c>
      <c r="B789" s="11" t="n">
        <f aca="false">0</f>
        <v>0</v>
      </c>
      <c r="C789" s="11" t="n">
        <f aca="false">A789-B789</f>
        <v>388000</v>
      </c>
      <c r="D789" s="11" t="n">
        <f aca="false">IF(Calculator!$B$6="Yes",MIN(B789,'Tax Tables'!$B$31*'Tax Tables'!$B$32),0)</f>
        <v>0</v>
      </c>
      <c r="E789" s="11" t="n">
        <f aca="false">D789*Calculator!$B$7</f>
        <v>0</v>
      </c>
      <c r="F789" s="11" t="n">
        <f aca="false">D789*Calculator!$B$8</f>
        <v>0</v>
      </c>
      <c r="G789" s="11" t="n">
        <f aca="false">IF(B789&gt;0,'Tax Tables'!$B$32*MIN(MAX(B789/'Tax Tables'!$B$32*'Tax Tables'!$B$33,'Tax Tables'!$B$34),'Tax Tables'!$B$35),0)</f>
        <v>0</v>
      </c>
      <c r="H789" s="11" t="n">
        <f aca="false">Calculator!$B$5-A789-F789-G789</f>
        <v>12000</v>
      </c>
      <c r="I789" s="11" t="n">
        <f aca="false">'Tax Tables'!$B$22*(MAX(H789,0)-IF(Calculator!$B$10="Yes",MIN(MAX(H789,0),'Tax Tables'!$B$27)*'Tax Tables'!$B$28+MIN(MAX(MAX(H789,0)-'Tax Tables'!$B$27,0),'Tax Tables'!$B$29)*'Tax Tables'!$B$30,MIN(MAX(H789,0),'Tax Tables'!$B$23)*'Tax Tables'!$B$24+MIN(MAX(MAX(H789,0)-'Tax Tables'!$B$23,0),'Tax Tables'!$B$25)*'Tax Tables'!$B$26))*1-MIN('Tax Tables'!$B$22*(MAX(H789,0)-IF(Calculator!$B$10="Yes",MIN(MAX(H789,0),'Tax Tables'!$B$27)*'Tax Tables'!$B$28+MIN(MAX(MAX(H789,0)-'Tax Tables'!$B$27,0),'Tax Tables'!$B$29)*'Tax Tables'!$B$30,MIN(MAX(H789,0),'Tax Tables'!$B$23)*'Tax Tables'!$B$24+MIN(MAX(MAX(H789,0)-'Tax Tables'!$B$23,0),'Tax Tables'!$B$25)*'Tax Tables'!$B$26))*Calculator!$B$11,Calculator!$B$12)</f>
        <v>595</v>
      </c>
      <c r="J789" s="11" t="n">
        <f aca="false">MAX(H789,0)-I789</f>
        <v>11405</v>
      </c>
      <c r="K789" s="11" t="n">
        <f aca="false">MIN(IF(A789&gt;0,Calculator!$B$13,0)+E789+Calculator!$B$14,'Tax Tables'!$B$36)</f>
        <v>1000</v>
      </c>
      <c r="L789" s="11" t="n">
        <f aca="false">MAX(A789-K789,0)</f>
        <v>387000</v>
      </c>
      <c r="M789" s="11" t="n">
        <f aca="false">SUMPRODUCT((L789&gt;'Tax Tables'!$A$5:$A$17)*(L789-'Tax Tables'!$A$5:$A$17)*'Tax Tables'!$C$5:$C$17)</f>
        <v>59290</v>
      </c>
      <c r="N789" s="11" t="n">
        <f aca="false">IF(H789&lt;0,-1E+099,A789-E789-M789+J789+(E789+F789)*Calculator!$B$9)</f>
        <v>340115</v>
      </c>
      <c r="O789" s="2"/>
      <c r="P789" s="11" t="n">
        <f aca="false">776*$B$3</f>
        <v>388000</v>
      </c>
      <c r="Q789" s="11" t="n">
        <f aca="false">MIN(P789,'Tax Tables'!$B$31*'Tax Tables'!$B$32)</f>
        <v>96000</v>
      </c>
      <c r="R789" s="11" t="n">
        <f aca="false">P789-Q789</f>
        <v>292000</v>
      </c>
      <c r="S789" s="11" t="n">
        <f aca="false">IF(Calculator!$B$6="Yes",MIN(Q789,'Tax Tables'!$B$31*'Tax Tables'!$B$32),0)</f>
        <v>96000</v>
      </c>
      <c r="T789" s="11" t="n">
        <f aca="false">S789*Calculator!$B$7</f>
        <v>19200</v>
      </c>
      <c r="U789" s="11" t="n">
        <f aca="false">S789*Calculator!$B$8</f>
        <v>16320</v>
      </c>
      <c r="V789" s="11" t="n">
        <f aca="false">IF(Q789&gt;0,'Tax Tables'!$B$32*MIN(MAX(Q789/'Tax Tables'!$B$32*'Tax Tables'!$B$33,'Tax Tables'!$B$34),'Tax Tables'!$B$35),0)</f>
        <v>135</v>
      </c>
      <c r="W789" s="11" t="n">
        <f aca="false">Calculator!$B$5-P789-U789-V789</f>
        <v>-4455</v>
      </c>
      <c r="X789" s="11" t="n">
        <f aca="false">'Tax Tables'!$B$22*(MAX(W789,0)-IF(Calculator!$B$10="Yes",MIN(MAX(W789,0),'Tax Tables'!$B$27)*'Tax Tables'!$B$28+MIN(MAX(MAX(W789,0)-'Tax Tables'!$B$27,0),'Tax Tables'!$B$29)*'Tax Tables'!$B$30,MIN(MAX(W789,0),'Tax Tables'!$B$23)*'Tax Tables'!$B$24+MIN(MAX(MAX(W789,0)-'Tax Tables'!$B$23,0),'Tax Tables'!$B$25)*'Tax Tables'!$B$26))*1-MIN('Tax Tables'!$B$22*(MAX(W789,0)-IF(Calculator!$B$10="Yes",MIN(MAX(W789,0),'Tax Tables'!$B$27)*'Tax Tables'!$B$28+MIN(MAX(MAX(W789,0)-'Tax Tables'!$B$27,0),'Tax Tables'!$B$29)*'Tax Tables'!$B$30,MIN(MAX(W789,0),'Tax Tables'!$B$23)*'Tax Tables'!$B$24+MIN(MAX(MAX(W789,0)-'Tax Tables'!$B$23,0),'Tax Tables'!$B$25)*'Tax Tables'!$B$26))*Calculator!$B$11,Calculator!$B$12)</f>
        <v>0</v>
      </c>
      <c r="Y789" s="11" t="n">
        <f aca="false">MAX(W789,0)-X789</f>
        <v>0</v>
      </c>
      <c r="Z789" s="11" t="n">
        <f aca="false">MIN(IF(P789&gt;0,Calculator!$B$13,0)+T789+Calculator!$B$14,'Tax Tables'!$B$36)</f>
        <v>20200</v>
      </c>
      <c r="AA789" s="11" t="n">
        <f aca="false">MAX(P789-Z789,0)</f>
        <v>367800</v>
      </c>
      <c r="AB789" s="11" t="n">
        <f aca="false">SUMPRODUCT((AA789&gt;'Tax Tables'!$A$5:$A$17)*(AA789-'Tax Tables'!$A$5:$A$17)*'Tax Tables'!$C$5:$C$17)</f>
        <v>55066</v>
      </c>
      <c r="AC789" s="11" t="n">
        <f aca="false">IF(W789&lt;0,-1E+099,P789-T789-AB789+Y789+(T789+U789)*Calculator!$B$9)</f>
        <v>-1E+099</v>
      </c>
    </row>
    <row r="790" customFormat="false" ht="15" hidden="false" customHeight="false" outlineLevel="0" collapsed="false">
      <c r="A790" s="11" t="n">
        <f aca="false">777*$B$3</f>
        <v>388500</v>
      </c>
      <c r="B790" s="11" t="n">
        <f aca="false">0</f>
        <v>0</v>
      </c>
      <c r="C790" s="11" t="n">
        <f aca="false">A790-B790</f>
        <v>388500</v>
      </c>
      <c r="D790" s="11" t="n">
        <f aca="false">IF(Calculator!$B$6="Yes",MIN(B790,'Tax Tables'!$B$31*'Tax Tables'!$B$32),0)</f>
        <v>0</v>
      </c>
      <c r="E790" s="11" t="n">
        <f aca="false">D790*Calculator!$B$7</f>
        <v>0</v>
      </c>
      <c r="F790" s="11" t="n">
        <f aca="false">D790*Calculator!$B$8</f>
        <v>0</v>
      </c>
      <c r="G790" s="11" t="n">
        <f aca="false">IF(B790&gt;0,'Tax Tables'!$B$32*MIN(MAX(B790/'Tax Tables'!$B$32*'Tax Tables'!$B$33,'Tax Tables'!$B$34),'Tax Tables'!$B$35),0)</f>
        <v>0</v>
      </c>
      <c r="H790" s="11" t="n">
        <f aca="false">Calculator!$B$5-A790-F790-G790</f>
        <v>11500</v>
      </c>
      <c r="I790" s="11" t="n">
        <f aca="false">'Tax Tables'!$B$22*(MAX(H790,0)-IF(Calculator!$B$10="Yes",MIN(MAX(H790,0),'Tax Tables'!$B$27)*'Tax Tables'!$B$28+MIN(MAX(MAX(H790,0)-'Tax Tables'!$B$27,0),'Tax Tables'!$B$29)*'Tax Tables'!$B$30,MIN(MAX(H790,0),'Tax Tables'!$B$23)*'Tax Tables'!$B$24+MIN(MAX(MAX(H790,0)-'Tax Tables'!$B$23,0),'Tax Tables'!$B$25)*'Tax Tables'!$B$26))*1-MIN('Tax Tables'!$B$22*(MAX(H790,0)-IF(Calculator!$B$10="Yes",MIN(MAX(H790,0),'Tax Tables'!$B$27)*'Tax Tables'!$B$28+MIN(MAX(MAX(H790,0)-'Tax Tables'!$B$27,0),'Tax Tables'!$B$29)*'Tax Tables'!$B$30,MIN(MAX(H790,0),'Tax Tables'!$B$23)*'Tax Tables'!$B$24+MIN(MAX(MAX(H790,0)-'Tax Tables'!$B$23,0),'Tax Tables'!$B$25)*'Tax Tables'!$B$26))*Calculator!$B$11,Calculator!$B$12)</f>
        <v>552.5</v>
      </c>
      <c r="J790" s="11" t="n">
        <f aca="false">MAX(H790,0)-I790</f>
        <v>10947.5</v>
      </c>
      <c r="K790" s="11" t="n">
        <f aca="false">MIN(IF(A790&gt;0,Calculator!$B$13,0)+E790+Calculator!$B$14,'Tax Tables'!$B$36)</f>
        <v>1000</v>
      </c>
      <c r="L790" s="11" t="n">
        <f aca="false">MAX(A790-K790,0)</f>
        <v>387500</v>
      </c>
      <c r="M790" s="11" t="n">
        <f aca="false">SUMPRODUCT((L790&gt;'Tax Tables'!$A$5:$A$17)*(L790-'Tax Tables'!$A$5:$A$17)*'Tax Tables'!$C$5:$C$17)</f>
        <v>59400</v>
      </c>
      <c r="N790" s="11" t="n">
        <f aca="false">IF(H790&lt;0,-1E+099,A790-E790-M790+J790+(E790+F790)*Calculator!$B$9)</f>
        <v>340047.5</v>
      </c>
      <c r="O790" s="2"/>
      <c r="P790" s="11" t="n">
        <f aca="false">777*$B$3</f>
        <v>388500</v>
      </c>
      <c r="Q790" s="11" t="n">
        <f aca="false">MIN(P790,'Tax Tables'!$B$31*'Tax Tables'!$B$32)</f>
        <v>96000</v>
      </c>
      <c r="R790" s="11" t="n">
        <f aca="false">P790-Q790</f>
        <v>292500</v>
      </c>
      <c r="S790" s="11" t="n">
        <f aca="false">IF(Calculator!$B$6="Yes",MIN(Q790,'Tax Tables'!$B$31*'Tax Tables'!$B$32),0)</f>
        <v>96000</v>
      </c>
      <c r="T790" s="11" t="n">
        <f aca="false">S790*Calculator!$B$7</f>
        <v>19200</v>
      </c>
      <c r="U790" s="11" t="n">
        <f aca="false">S790*Calculator!$B$8</f>
        <v>16320</v>
      </c>
      <c r="V790" s="11" t="n">
        <f aca="false">IF(Q790&gt;0,'Tax Tables'!$B$32*MIN(MAX(Q790/'Tax Tables'!$B$32*'Tax Tables'!$B$33,'Tax Tables'!$B$34),'Tax Tables'!$B$35),0)</f>
        <v>135</v>
      </c>
      <c r="W790" s="11" t="n">
        <f aca="false">Calculator!$B$5-P790-U790-V790</f>
        <v>-4955</v>
      </c>
      <c r="X790" s="11" t="n">
        <f aca="false">'Tax Tables'!$B$22*(MAX(W790,0)-IF(Calculator!$B$10="Yes",MIN(MAX(W790,0),'Tax Tables'!$B$27)*'Tax Tables'!$B$28+MIN(MAX(MAX(W790,0)-'Tax Tables'!$B$27,0),'Tax Tables'!$B$29)*'Tax Tables'!$B$30,MIN(MAX(W790,0),'Tax Tables'!$B$23)*'Tax Tables'!$B$24+MIN(MAX(MAX(W790,0)-'Tax Tables'!$B$23,0),'Tax Tables'!$B$25)*'Tax Tables'!$B$26))*1-MIN('Tax Tables'!$B$22*(MAX(W790,0)-IF(Calculator!$B$10="Yes",MIN(MAX(W790,0),'Tax Tables'!$B$27)*'Tax Tables'!$B$28+MIN(MAX(MAX(W790,0)-'Tax Tables'!$B$27,0),'Tax Tables'!$B$29)*'Tax Tables'!$B$30,MIN(MAX(W790,0),'Tax Tables'!$B$23)*'Tax Tables'!$B$24+MIN(MAX(MAX(W790,0)-'Tax Tables'!$B$23,0),'Tax Tables'!$B$25)*'Tax Tables'!$B$26))*Calculator!$B$11,Calculator!$B$12)</f>
        <v>0</v>
      </c>
      <c r="Y790" s="11" t="n">
        <f aca="false">MAX(W790,0)-X790</f>
        <v>0</v>
      </c>
      <c r="Z790" s="11" t="n">
        <f aca="false">MIN(IF(P790&gt;0,Calculator!$B$13,0)+T790+Calculator!$B$14,'Tax Tables'!$B$36)</f>
        <v>20200</v>
      </c>
      <c r="AA790" s="11" t="n">
        <f aca="false">MAX(P790-Z790,0)</f>
        <v>368300</v>
      </c>
      <c r="AB790" s="11" t="n">
        <f aca="false">SUMPRODUCT((AA790&gt;'Tax Tables'!$A$5:$A$17)*(AA790-'Tax Tables'!$A$5:$A$17)*'Tax Tables'!$C$5:$C$17)</f>
        <v>55176</v>
      </c>
      <c r="AC790" s="11" t="n">
        <f aca="false">IF(W790&lt;0,-1E+099,P790-T790-AB790+Y790+(T790+U790)*Calculator!$B$9)</f>
        <v>-1E+099</v>
      </c>
    </row>
    <row r="791" customFormat="false" ht="15" hidden="false" customHeight="false" outlineLevel="0" collapsed="false">
      <c r="A791" s="11" t="n">
        <f aca="false">778*$B$3</f>
        <v>389000</v>
      </c>
      <c r="B791" s="11" t="n">
        <f aca="false">0</f>
        <v>0</v>
      </c>
      <c r="C791" s="11" t="n">
        <f aca="false">A791-B791</f>
        <v>389000</v>
      </c>
      <c r="D791" s="11" t="n">
        <f aca="false">IF(Calculator!$B$6="Yes",MIN(B791,'Tax Tables'!$B$31*'Tax Tables'!$B$32),0)</f>
        <v>0</v>
      </c>
      <c r="E791" s="11" t="n">
        <f aca="false">D791*Calculator!$B$7</f>
        <v>0</v>
      </c>
      <c r="F791" s="11" t="n">
        <f aca="false">D791*Calculator!$B$8</f>
        <v>0</v>
      </c>
      <c r="G791" s="11" t="n">
        <f aca="false">IF(B791&gt;0,'Tax Tables'!$B$32*MIN(MAX(B791/'Tax Tables'!$B$32*'Tax Tables'!$B$33,'Tax Tables'!$B$34),'Tax Tables'!$B$35),0)</f>
        <v>0</v>
      </c>
      <c r="H791" s="11" t="n">
        <f aca="false">Calculator!$B$5-A791-F791-G791</f>
        <v>11000</v>
      </c>
      <c r="I791" s="11" t="n">
        <f aca="false">'Tax Tables'!$B$22*(MAX(H791,0)-IF(Calculator!$B$10="Yes",MIN(MAX(H791,0),'Tax Tables'!$B$27)*'Tax Tables'!$B$28+MIN(MAX(MAX(H791,0)-'Tax Tables'!$B$27,0),'Tax Tables'!$B$29)*'Tax Tables'!$B$30,MIN(MAX(H791,0),'Tax Tables'!$B$23)*'Tax Tables'!$B$24+MIN(MAX(MAX(H791,0)-'Tax Tables'!$B$23,0),'Tax Tables'!$B$25)*'Tax Tables'!$B$26))*1-MIN('Tax Tables'!$B$22*(MAX(H791,0)-IF(Calculator!$B$10="Yes",MIN(MAX(H791,0),'Tax Tables'!$B$27)*'Tax Tables'!$B$28+MIN(MAX(MAX(H791,0)-'Tax Tables'!$B$27,0),'Tax Tables'!$B$29)*'Tax Tables'!$B$30,MIN(MAX(H791,0),'Tax Tables'!$B$23)*'Tax Tables'!$B$24+MIN(MAX(MAX(H791,0)-'Tax Tables'!$B$23,0),'Tax Tables'!$B$25)*'Tax Tables'!$B$26))*Calculator!$B$11,Calculator!$B$12)</f>
        <v>510</v>
      </c>
      <c r="J791" s="11" t="n">
        <f aca="false">MAX(H791,0)-I791</f>
        <v>10490</v>
      </c>
      <c r="K791" s="11" t="n">
        <f aca="false">MIN(IF(A791&gt;0,Calculator!$B$13,0)+E791+Calculator!$B$14,'Tax Tables'!$B$36)</f>
        <v>1000</v>
      </c>
      <c r="L791" s="11" t="n">
        <f aca="false">MAX(A791-K791,0)</f>
        <v>388000</v>
      </c>
      <c r="M791" s="11" t="n">
        <f aca="false">SUMPRODUCT((L791&gt;'Tax Tables'!$A$5:$A$17)*(L791-'Tax Tables'!$A$5:$A$17)*'Tax Tables'!$C$5:$C$17)</f>
        <v>59510</v>
      </c>
      <c r="N791" s="11" t="n">
        <f aca="false">IF(H791&lt;0,-1E+099,A791-E791-M791+J791+(E791+F791)*Calculator!$B$9)</f>
        <v>339980</v>
      </c>
      <c r="O791" s="2"/>
      <c r="P791" s="11" t="n">
        <f aca="false">778*$B$3</f>
        <v>389000</v>
      </c>
      <c r="Q791" s="11" t="n">
        <f aca="false">MIN(P791,'Tax Tables'!$B$31*'Tax Tables'!$B$32)</f>
        <v>96000</v>
      </c>
      <c r="R791" s="11" t="n">
        <f aca="false">P791-Q791</f>
        <v>293000</v>
      </c>
      <c r="S791" s="11" t="n">
        <f aca="false">IF(Calculator!$B$6="Yes",MIN(Q791,'Tax Tables'!$B$31*'Tax Tables'!$B$32),0)</f>
        <v>96000</v>
      </c>
      <c r="T791" s="11" t="n">
        <f aca="false">S791*Calculator!$B$7</f>
        <v>19200</v>
      </c>
      <c r="U791" s="11" t="n">
        <f aca="false">S791*Calculator!$B$8</f>
        <v>16320</v>
      </c>
      <c r="V791" s="11" t="n">
        <f aca="false">IF(Q791&gt;0,'Tax Tables'!$B$32*MIN(MAX(Q791/'Tax Tables'!$B$32*'Tax Tables'!$B$33,'Tax Tables'!$B$34),'Tax Tables'!$B$35),0)</f>
        <v>135</v>
      </c>
      <c r="W791" s="11" t="n">
        <f aca="false">Calculator!$B$5-P791-U791-V791</f>
        <v>-5455</v>
      </c>
      <c r="X791" s="11" t="n">
        <f aca="false">'Tax Tables'!$B$22*(MAX(W791,0)-IF(Calculator!$B$10="Yes",MIN(MAX(W791,0),'Tax Tables'!$B$27)*'Tax Tables'!$B$28+MIN(MAX(MAX(W791,0)-'Tax Tables'!$B$27,0),'Tax Tables'!$B$29)*'Tax Tables'!$B$30,MIN(MAX(W791,0),'Tax Tables'!$B$23)*'Tax Tables'!$B$24+MIN(MAX(MAX(W791,0)-'Tax Tables'!$B$23,0),'Tax Tables'!$B$25)*'Tax Tables'!$B$26))*1-MIN('Tax Tables'!$B$22*(MAX(W791,0)-IF(Calculator!$B$10="Yes",MIN(MAX(W791,0),'Tax Tables'!$B$27)*'Tax Tables'!$B$28+MIN(MAX(MAX(W791,0)-'Tax Tables'!$B$27,0),'Tax Tables'!$B$29)*'Tax Tables'!$B$30,MIN(MAX(W791,0),'Tax Tables'!$B$23)*'Tax Tables'!$B$24+MIN(MAX(MAX(W791,0)-'Tax Tables'!$B$23,0),'Tax Tables'!$B$25)*'Tax Tables'!$B$26))*Calculator!$B$11,Calculator!$B$12)</f>
        <v>0</v>
      </c>
      <c r="Y791" s="11" t="n">
        <f aca="false">MAX(W791,0)-X791</f>
        <v>0</v>
      </c>
      <c r="Z791" s="11" t="n">
        <f aca="false">MIN(IF(P791&gt;0,Calculator!$B$13,0)+T791+Calculator!$B$14,'Tax Tables'!$B$36)</f>
        <v>20200</v>
      </c>
      <c r="AA791" s="11" t="n">
        <f aca="false">MAX(P791-Z791,0)</f>
        <v>368800</v>
      </c>
      <c r="AB791" s="11" t="n">
        <f aca="false">SUMPRODUCT((AA791&gt;'Tax Tables'!$A$5:$A$17)*(AA791-'Tax Tables'!$A$5:$A$17)*'Tax Tables'!$C$5:$C$17)</f>
        <v>55286</v>
      </c>
      <c r="AC791" s="11" t="n">
        <f aca="false">IF(W791&lt;0,-1E+099,P791-T791-AB791+Y791+(T791+U791)*Calculator!$B$9)</f>
        <v>-1E+099</v>
      </c>
    </row>
    <row r="792" customFormat="false" ht="15" hidden="false" customHeight="false" outlineLevel="0" collapsed="false">
      <c r="A792" s="11" t="n">
        <f aca="false">779*$B$3</f>
        <v>389500</v>
      </c>
      <c r="B792" s="11" t="n">
        <f aca="false">0</f>
        <v>0</v>
      </c>
      <c r="C792" s="11" t="n">
        <f aca="false">A792-B792</f>
        <v>389500</v>
      </c>
      <c r="D792" s="11" t="n">
        <f aca="false">IF(Calculator!$B$6="Yes",MIN(B792,'Tax Tables'!$B$31*'Tax Tables'!$B$32),0)</f>
        <v>0</v>
      </c>
      <c r="E792" s="11" t="n">
        <f aca="false">D792*Calculator!$B$7</f>
        <v>0</v>
      </c>
      <c r="F792" s="11" t="n">
        <f aca="false">D792*Calculator!$B$8</f>
        <v>0</v>
      </c>
      <c r="G792" s="11" t="n">
        <f aca="false">IF(B792&gt;0,'Tax Tables'!$B$32*MIN(MAX(B792/'Tax Tables'!$B$32*'Tax Tables'!$B$33,'Tax Tables'!$B$34),'Tax Tables'!$B$35),0)</f>
        <v>0</v>
      </c>
      <c r="H792" s="11" t="n">
        <f aca="false">Calculator!$B$5-A792-F792-G792</f>
        <v>10500</v>
      </c>
      <c r="I792" s="11" t="n">
        <f aca="false">'Tax Tables'!$B$22*(MAX(H792,0)-IF(Calculator!$B$10="Yes",MIN(MAX(H792,0),'Tax Tables'!$B$27)*'Tax Tables'!$B$28+MIN(MAX(MAX(H792,0)-'Tax Tables'!$B$27,0),'Tax Tables'!$B$29)*'Tax Tables'!$B$30,MIN(MAX(H792,0),'Tax Tables'!$B$23)*'Tax Tables'!$B$24+MIN(MAX(MAX(H792,0)-'Tax Tables'!$B$23,0),'Tax Tables'!$B$25)*'Tax Tables'!$B$26))*1-MIN('Tax Tables'!$B$22*(MAX(H792,0)-IF(Calculator!$B$10="Yes",MIN(MAX(H792,0),'Tax Tables'!$B$27)*'Tax Tables'!$B$28+MIN(MAX(MAX(H792,0)-'Tax Tables'!$B$27,0),'Tax Tables'!$B$29)*'Tax Tables'!$B$30,MIN(MAX(H792,0),'Tax Tables'!$B$23)*'Tax Tables'!$B$24+MIN(MAX(MAX(H792,0)-'Tax Tables'!$B$23,0),'Tax Tables'!$B$25)*'Tax Tables'!$B$26))*Calculator!$B$11,Calculator!$B$12)</f>
        <v>467.5</v>
      </c>
      <c r="J792" s="11" t="n">
        <f aca="false">MAX(H792,0)-I792</f>
        <v>10032.5</v>
      </c>
      <c r="K792" s="11" t="n">
        <f aca="false">MIN(IF(A792&gt;0,Calculator!$B$13,0)+E792+Calculator!$B$14,'Tax Tables'!$B$36)</f>
        <v>1000</v>
      </c>
      <c r="L792" s="11" t="n">
        <f aca="false">MAX(A792-K792,0)</f>
        <v>388500</v>
      </c>
      <c r="M792" s="11" t="n">
        <f aca="false">SUMPRODUCT((L792&gt;'Tax Tables'!$A$5:$A$17)*(L792-'Tax Tables'!$A$5:$A$17)*'Tax Tables'!$C$5:$C$17)</f>
        <v>59620</v>
      </c>
      <c r="N792" s="11" t="n">
        <f aca="false">IF(H792&lt;0,-1E+099,A792-E792-M792+J792+(E792+F792)*Calculator!$B$9)</f>
        <v>339912.5</v>
      </c>
      <c r="O792" s="2"/>
      <c r="P792" s="11" t="n">
        <f aca="false">779*$B$3</f>
        <v>389500</v>
      </c>
      <c r="Q792" s="11" t="n">
        <f aca="false">MIN(P792,'Tax Tables'!$B$31*'Tax Tables'!$B$32)</f>
        <v>96000</v>
      </c>
      <c r="R792" s="11" t="n">
        <f aca="false">P792-Q792</f>
        <v>293500</v>
      </c>
      <c r="S792" s="11" t="n">
        <f aca="false">IF(Calculator!$B$6="Yes",MIN(Q792,'Tax Tables'!$B$31*'Tax Tables'!$B$32),0)</f>
        <v>96000</v>
      </c>
      <c r="T792" s="11" t="n">
        <f aca="false">S792*Calculator!$B$7</f>
        <v>19200</v>
      </c>
      <c r="U792" s="11" t="n">
        <f aca="false">S792*Calculator!$B$8</f>
        <v>16320</v>
      </c>
      <c r="V792" s="11" t="n">
        <f aca="false">IF(Q792&gt;0,'Tax Tables'!$B$32*MIN(MAX(Q792/'Tax Tables'!$B$32*'Tax Tables'!$B$33,'Tax Tables'!$B$34),'Tax Tables'!$B$35),0)</f>
        <v>135</v>
      </c>
      <c r="W792" s="11" t="n">
        <f aca="false">Calculator!$B$5-P792-U792-V792</f>
        <v>-5955</v>
      </c>
      <c r="X792" s="11" t="n">
        <f aca="false">'Tax Tables'!$B$22*(MAX(W792,0)-IF(Calculator!$B$10="Yes",MIN(MAX(W792,0),'Tax Tables'!$B$27)*'Tax Tables'!$B$28+MIN(MAX(MAX(W792,0)-'Tax Tables'!$B$27,0),'Tax Tables'!$B$29)*'Tax Tables'!$B$30,MIN(MAX(W792,0),'Tax Tables'!$B$23)*'Tax Tables'!$B$24+MIN(MAX(MAX(W792,0)-'Tax Tables'!$B$23,0),'Tax Tables'!$B$25)*'Tax Tables'!$B$26))*1-MIN('Tax Tables'!$B$22*(MAX(W792,0)-IF(Calculator!$B$10="Yes",MIN(MAX(W792,0),'Tax Tables'!$B$27)*'Tax Tables'!$B$28+MIN(MAX(MAX(W792,0)-'Tax Tables'!$B$27,0),'Tax Tables'!$B$29)*'Tax Tables'!$B$30,MIN(MAX(W792,0),'Tax Tables'!$B$23)*'Tax Tables'!$B$24+MIN(MAX(MAX(W792,0)-'Tax Tables'!$B$23,0),'Tax Tables'!$B$25)*'Tax Tables'!$B$26))*Calculator!$B$11,Calculator!$B$12)</f>
        <v>0</v>
      </c>
      <c r="Y792" s="11" t="n">
        <f aca="false">MAX(W792,0)-X792</f>
        <v>0</v>
      </c>
      <c r="Z792" s="11" t="n">
        <f aca="false">MIN(IF(P792&gt;0,Calculator!$B$13,0)+T792+Calculator!$B$14,'Tax Tables'!$B$36)</f>
        <v>20200</v>
      </c>
      <c r="AA792" s="11" t="n">
        <f aca="false">MAX(P792-Z792,0)</f>
        <v>369300</v>
      </c>
      <c r="AB792" s="11" t="n">
        <f aca="false">SUMPRODUCT((AA792&gt;'Tax Tables'!$A$5:$A$17)*(AA792-'Tax Tables'!$A$5:$A$17)*'Tax Tables'!$C$5:$C$17)</f>
        <v>55396</v>
      </c>
      <c r="AC792" s="11" t="n">
        <f aca="false">IF(W792&lt;0,-1E+099,P792-T792-AB792+Y792+(T792+U792)*Calculator!$B$9)</f>
        <v>-1E+099</v>
      </c>
    </row>
    <row r="793" customFormat="false" ht="15" hidden="false" customHeight="false" outlineLevel="0" collapsed="false">
      <c r="A793" s="11" t="n">
        <f aca="false">780*$B$3</f>
        <v>390000</v>
      </c>
      <c r="B793" s="11" t="n">
        <f aca="false">0</f>
        <v>0</v>
      </c>
      <c r="C793" s="11" t="n">
        <f aca="false">A793-B793</f>
        <v>390000</v>
      </c>
      <c r="D793" s="11" t="n">
        <f aca="false">IF(Calculator!$B$6="Yes",MIN(B793,'Tax Tables'!$B$31*'Tax Tables'!$B$32),0)</f>
        <v>0</v>
      </c>
      <c r="E793" s="11" t="n">
        <f aca="false">D793*Calculator!$B$7</f>
        <v>0</v>
      </c>
      <c r="F793" s="11" t="n">
        <f aca="false">D793*Calculator!$B$8</f>
        <v>0</v>
      </c>
      <c r="G793" s="11" t="n">
        <f aca="false">IF(B793&gt;0,'Tax Tables'!$B$32*MIN(MAX(B793/'Tax Tables'!$B$32*'Tax Tables'!$B$33,'Tax Tables'!$B$34),'Tax Tables'!$B$35),0)</f>
        <v>0</v>
      </c>
      <c r="H793" s="11" t="n">
        <f aca="false">Calculator!$B$5-A793-F793-G793</f>
        <v>10000</v>
      </c>
      <c r="I793" s="11" t="n">
        <f aca="false">'Tax Tables'!$B$22*(MAX(H793,0)-IF(Calculator!$B$10="Yes",MIN(MAX(H793,0),'Tax Tables'!$B$27)*'Tax Tables'!$B$28+MIN(MAX(MAX(H793,0)-'Tax Tables'!$B$27,0),'Tax Tables'!$B$29)*'Tax Tables'!$B$30,MIN(MAX(H793,0),'Tax Tables'!$B$23)*'Tax Tables'!$B$24+MIN(MAX(MAX(H793,0)-'Tax Tables'!$B$23,0),'Tax Tables'!$B$25)*'Tax Tables'!$B$26))*1-MIN('Tax Tables'!$B$22*(MAX(H793,0)-IF(Calculator!$B$10="Yes",MIN(MAX(H793,0),'Tax Tables'!$B$27)*'Tax Tables'!$B$28+MIN(MAX(MAX(H793,0)-'Tax Tables'!$B$27,0),'Tax Tables'!$B$29)*'Tax Tables'!$B$30,MIN(MAX(H793,0),'Tax Tables'!$B$23)*'Tax Tables'!$B$24+MIN(MAX(MAX(H793,0)-'Tax Tables'!$B$23,0),'Tax Tables'!$B$25)*'Tax Tables'!$B$26))*Calculator!$B$11,Calculator!$B$12)</f>
        <v>425</v>
      </c>
      <c r="J793" s="11" t="n">
        <f aca="false">MAX(H793,0)-I793</f>
        <v>9575</v>
      </c>
      <c r="K793" s="11" t="n">
        <f aca="false">MIN(IF(A793&gt;0,Calculator!$B$13,0)+E793+Calculator!$B$14,'Tax Tables'!$B$36)</f>
        <v>1000</v>
      </c>
      <c r="L793" s="11" t="n">
        <f aca="false">MAX(A793-K793,0)</f>
        <v>389000</v>
      </c>
      <c r="M793" s="11" t="n">
        <f aca="false">SUMPRODUCT((L793&gt;'Tax Tables'!$A$5:$A$17)*(L793-'Tax Tables'!$A$5:$A$17)*'Tax Tables'!$C$5:$C$17)</f>
        <v>59730</v>
      </c>
      <c r="N793" s="11" t="n">
        <f aca="false">IF(H793&lt;0,-1E+099,A793-E793-M793+J793+(E793+F793)*Calculator!$B$9)</f>
        <v>339845</v>
      </c>
      <c r="O793" s="2"/>
      <c r="P793" s="11" t="n">
        <f aca="false">780*$B$3</f>
        <v>390000</v>
      </c>
      <c r="Q793" s="11" t="n">
        <f aca="false">MIN(P793,'Tax Tables'!$B$31*'Tax Tables'!$B$32)</f>
        <v>96000</v>
      </c>
      <c r="R793" s="11" t="n">
        <f aca="false">P793-Q793</f>
        <v>294000</v>
      </c>
      <c r="S793" s="11" t="n">
        <f aca="false">IF(Calculator!$B$6="Yes",MIN(Q793,'Tax Tables'!$B$31*'Tax Tables'!$B$32),0)</f>
        <v>96000</v>
      </c>
      <c r="T793" s="11" t="n">
        <f aca="false">S793*Calculator!$B$7</f>
        <v>19200</v>
      </c>
      <c r="U793" s="11" t="n">
        <f aca="false">S793*Calculator!$B$8</f>
        <v>16320</v>
      </c>
      <c r="V793" s="11" t="n">
        <f aca="false">IF(Q793&gt;0,'Tax Tables'!$B$32*MIN(MAX(Q793/'Tax Tables'!$B$32*'Tax Tables'!$B$33,'Tax Tables'!$B$34),'Tax Tables'!$B$35),0)</f>
        <v>135</v>
      </c>
      <c r="W793" s="11" t="n">
        <f aca="false">Calculator!$B$5-P793-U793-V793</f>
        <v>-6455</v>
      </c>
      <c r="X793" s="11" t="n">
        <f aca="false">'Tax Tables'!$B$22*(MAX(W793,0)-IF(Calculator!$B$10="Yes",MIN(MAX(W793,0),'Tax Tables'!$B$27)*'Tax Tables'!$B$28+MIN(MAX(MAX(W793,0)-'Tax Tables'!$B$27,0),'Tax Tables'!$B$29)*'Tax Tables'!$B$30,MIN(MAX(W793,0),'Tax Tables'!$B$23)*'Tax Tables'!$B$24+MIN(MAX(MAX(W793,0)-'Tax Tables'!$B$23,0),'Tax Tables'!$B$25)*'Tax Tables'!$B$26))*1-MIN('Tax Tables'!$B$22*(MAX(W793,0)-IF(Calculator!$B$10="Yes",MIN(MAX(W793,0),'Tax Tables'!$B$27)*'Tax Tables'!$B$28+MIN(MAX(MAX(W793,0)-'Tax Tables'!$B$27,0),'Tax Tables'!$B$29)*'Tax Tables'!$B$30,MIN(MAX(W793,0),'Tax Tables'!$B$23)*'Tax Tables'!$B$24+MIN(MAX(MAX(W793,0)-'Tax Tables'!$B$23,0),'Tax Tables'!$B$25)*'Tax Tables'!$B$26))*Calculator!$B$11,Calculator!$B$12)</f>
        <v>0</v>
      </c>
      <c r="Y793" s="11" t="n">
        <f aca="false">MAX(W793,0)-X793</f>
        <v>0</v>
      </c>
      <c r="Z793" s="11" t="n">
        <f aca="false">MIN(IF(P793&gt;0,Calculator!$B$13,0)+T793+Calculator!$B$14,'Tax Tables'!$B$36)</f>
        <v>20200</v>
      </c>
      <c r="AA793" s="11" t="n">
        <f aca="false">MAX(P793-Z793,0)</f>
        <v>369800</v>
      </c>
      <c r="AB793" s="11" t="n">
        <f aca="false">SUMPRODUCT((AA793&gt;'Tax Tables'!$A$5:$A$17)*(AA793-'Tax Tables'!$A$5:$A$17)*'Tax Tables'!$C$5:$C$17)</f>
        <v>55506</v>
      </c>
      <c r="AC793" s="11" t="n">
        <f aca="false">IF(W793&lt;0,-1E+099,P793-T793-AB793+Y793+(T793+U793)*Calculator!$B$9)</f>
        <v>-1E+099</v>
      </c>
    </row>
    <row r="794" customFormat="false" ht="15" hidden="false" customHeight="false" outlineLevel="0" collapsed="false">
      <c r="A794" s="11" t="n">
        <f aca="false">781*$B$3</f>
        <v>390500</v>
      </c>
      <c r="B794" s="11" t="n">
        <f aca="false">0</f>
        <v>0</v>
      </c>
      <c r="C794" s="11" t="n">
        <f aca="false">A794-B794</f>
        <v>390500</v>
      </c>
      <c r="D794" s="11" t="n">
        <f aca="false">IF(Calculator!$B$6="Yes",MIN(B794,'Tax Tables'!$B$31*'Tax Tables'!$B$32),0)</f>
        <v>0</v>
      </c>
      <c r="E794" s="11" t="n">
        <f aca="false">D794*Calculator!$B$7</f>
        <v>0</v>
      </c>
      <c r="F794" s="11" t="n">
        <f aca="false">D794*Calculator!$B$8</f>
        <v>0</v>
      </c>
      <c r="G794" s="11" t="n">
        <f aca="false">IF(B794&gt;0,'Tax Tables'!$B$32*MIN(MAX(B794/'Tax Tables'!$B$32*'Tax Tables'!$B$33,'Tax Tables'!$B$34),'Tax Tables'!$B$35),0)</f>
        <v>0</v>
      </c>
      <c r="H794" s="11" t="n">
        <f aca="false">Calculator!$B$5-A794-F794-G794</f>
        <v>9500</v>
      </c>
      <c r="I794" s="11" t="n">
        <f aca="false">'Tax Tables'!$B$22*(MAX(H794,0)-IF(Calculator!$B$10="Yes",MIN(MAX(H794,0),'Tax Tables'!$B$27)*'Tax Tables'!$B$28+MIN(MAX(MAX(H794,0)-'Tax Tables'!$B$27,0),'Tax Tables'!$B$29)*'Tax Tables'!$B$30,MIN(MAX(H794,0),'Tax Tables'!$B$23)*'Tax Tables'!$B$24+MIN(MAX(MAX(H794,0)-'Tax Tables'!$B$23,0),'Tax Tables'!$B$25)*'Tax Tables'!$B$26))*1-MIN('Tax Tables'!$B$22*(MAX(H794,0)-IF(Calculator!$B$10="Yes",MIN(MAX(H794,0),'Tax Tables'!$B$27)*'Tax Tables'!$B$28+MIN(MAX(MAX(H794,0)-'Tax Tables'!$B$27,0),'Tax Tables'!$B$29)*'Tax Tables'!$B$30,MIN(MAX(H794,0),'Tax Tables'!$B$23)*'Tax Tables'!$B$24+MIN(MAX(MAX(H794,0)-'Tax Tables'!$B$23,0),'Tax Tables'!$B$25)*'Tax Tables'!$B$26))*Calculator!$B$11,Calculator!$B$12)</f>
        <v>403.75</v>
      </c>
      <c r="J794" s="11" t="n">
        <f aca="false">MAX(H794,0)-I794</f>
        <v>9096.25</v>
      </c>
      <c r="K794" s="11" t="n">
        <f aca="false">MIN(IF(A794&gt;0,Calculator!$B$13,0)+E794+Calculator!$B$14,'Tax Tables'!$B$36)</f>
        <v>1000</v>
      </c>
      <c r="L794" s="11" t="n">
        <f aca="false">MAX(A794-K794,0)</f>
        <v>389500</v>
      </c>
      <c r="M794" s="11" t="n">
        <f aca="false">SUMPRODUCT((L794&gt;'Tax Tables'!$A$5:$A$17)*(L794-'Tax Tables'!$A$5:$A$17)*'Tax Tables'!$C$5:$C$17)</f>
        <v>59840</v>
      </c>
      <c r="N794" s="11" t="n">
        <f aca="false">IF(H794&lt;0,-1E+099,A794-E794-M794+J794+(E794+F794)*Calculator!$B$9)</f>
        <v>339756.25</v>
      </c>
      <c r="O794" s="2"/>
      <c r="P794" s="11" t="n">
        <f aca="false">781*$B$3</f>
        <v>390500</v>
      </c>
      <c r="Q794" s="11" t="n">
        <f aca="false">MIN(P794,'Tax Tables'!$B$31*'Tax Tables'!$B$32)</f>
        <v>96000</v>
      </c>
      <c r="R794" s="11" t="n">
        <f aca="false">P794-Q794</f>
        <v>294500</v>
      </c>
      <c r="S794" s="11" t="n">
        <f aca="false">IF(Calculator!$B$6="Yes",MIN(Q794,'Tax Tables'!$B$31*'Tax Tables'!$B$32),0)</f>
        <v>96000</v>
      </c>
      <c r="T794" s="11" t="n">
        <f aca="false">S794*Calculator!$B$7</f>
        <v>19200</v>
      </c>
      <c r="U794" s="11" t="n">
        <f aca="false">S794*Calculator!$B$8</f>
        <v>16320</v>
      </c>
      <c r="V794" s="11" t="n">
        <f aca="false">IF(Q794&gt;0,'Tax Tables'!$B$32*MIN(MAX(Q794/'Tax Tables'!$B$32*'Tax Tables'!$B$33,'Tax Tables'!$B$34),'Tax Tables'!$B$35),0)</f>
        <v>135</v>
      </c>
      <c r="W794" s="11" t="n">
        <f aca="false">Calculator!$B$5-P794-U794-V794</f>
        <v>-6955</v>
      </c>
      <c r="X794" s="11" t="n">
        <f aca="false">'Tax Tables'!$B$22*(MAX(W794,0)-IF(Calculator!$B$10="Yes",MIN(MAX(W794,0),'Tax Tables'!$B$27)*'Tax Tables'!$B$28+MIN(MAX(MAX(W794,0)-'Tax Tables'!$B$27,0),'Tax Tables'!$B$29)*'Tax Tables'!$B$30,MIN(MAX(W794,0),'Tax Tables'!$B$23)*'Tax Tables'!$B$24+MIN(MAX(MAX(W794,0)-'Tax Tables'!$B$23,0),'Tax Tables'!$B$25)*'Tax Tables'!$B$26))*1-MIN('Tax Tables'!$B$22*(MAX(W794,0)-IF(Calculator!$B$10="Yes",MIN(MAX(W794,0),'Tax Tables'!$B$27)*'Tax Tables'!$B$28+MIN(MAX(MAX(W794,0)-'Tax Tables'!$B$27,0),'Tax Tables'!$B$29)*'Tax Tables'!$B$30,MIN(MAX(W794,0),'Tax Tables'!$B$23)*'Tax Tables'!$B$24+MIN(MAX(MAX(W794,0)-'Tax Tables'!$B$23,0),'Tax Tables'!$B$25)*'Tax Tables'!$B$26))*Calculator!$B$11,Calculator!$B$12)</f>
        <v>0</v>
      </c>
      <c r="Y794" s="11" t="n">
        <f aca="false">MAX(W794,0)-X794</f>
        <v>0</v>
      </c>
      <c r="Z794" s="11" t="n">
        <f aca="false">MIN(IF(P794&gt;0,Calculator!$B$13,0)+T794+Calculator!$B$14,'Tax Tables'!$B$36)</f>
        <v>20200</v>
      </c>
      <c r="AA794" s="11" t="n">
        <f aca="false">MAX(P794-Z794,0)</f>
        <v>370300</v>
      </c>
      <c r="AB794" s="11" t="n">
        <f aca="false">SUMPRODUCT((AA794&gt;'Tax Tables'!$A$5:$A$17)*(AA794-'Tax Tables'!$A$5:$A$17)*'Tax Tables'!$C$5:$C$17)</f>
        <v>55616</v>
      </c>
      <c r="AC794" s="11" t="n">
        <f aca="false">IF(W794&lt;0,-1E+099,P794-T794-AB794+Y794+(T794+U794)*Calculator!$B$9)</f>
        <v>-1E+099</v>
      </c>
    </row>
    <row r="795" customFormat="false" ht="15" hidden="false" customHeight="false" outlineLevel="0" collapsed="false">
      <c r="A795" s="11" t="n">
        <f aca="false">782*$B$3</f>
        <v>391000</v>
      </c>
      <c r="B795" s="11" t="n">
        <f aca="false">0</f>
        <v>0</v>
      </c>
      <c r="C795" s="11" t="n">
        <f aca="false">A795-B795</f>
        <v>391000</v>
      </c>
      <c r="D795" s="11" t="n">
        <f aca="false">IF(Calculator!$B$6="Yes",MIN(B795,'Tax Tables'!$B$31*'Tax Tables'!$B$32),0)</f>
        <v>0</v>
      </c>
      <c r="E795" s="11" t="n">
        <f aca="false">D795*Calculator!$B$7</f>
        <v>0</v>
      </c>
      <c r="F795" s="11" t="n">
        <f aca="false">D795*Calculator!$B$8</f>
        <v>0</v>
      </c>
      <c r="G795" s="11" t="n">
        <f aca="false">IF(B795&gt;0,'Tax Tables'!$B$32*MIN(MAX(B795/'Tax Tables'!$B$32*'Tax Tables'!$B$33,'Tax Tables'!$B$34),'Tax Tables'!$B$35),0)</f>
        <v>0</v>
      </c>
      <c r="H795" s="11" t="n">
        <f aca="false">Calculator!$B$5-A795-F795-G795</f>
        <v>9000</v>
      </c>
      <c r="I795" s="11" t="n">
        <f aca="false">'Tax Tables'!$B$22*(MAX(H795,0)-IF(Calculator!$B$10="Yes",MIN(MAX(H795,0),'Tax Tables'!$B$27)*'Tax Tables'!$B$28+MIN(MAX(MAX(H795,0)-'Tax Tables'!$B$27,0),'Tax Tables'!$B$29)*'Tax Tables'!$B$30,MIN(MAX(H795,0),'Tax Tables'!$B$23)*'Tax Tables'!$B$24+MIN(MAX(MAX(H795,0)-'Tax Tables'!$B$23,0),'Tax Tables'!$B$25)*'Tax Tables'!$B$26))*1-MIN('Tax Tables'!$B$22*(MAX(H795,0)-IF(Calculator!$B$10="Yes",MIN(MAX(H795,0),'Tax Tables'!$B$27)*'Tax Tables'!$B$28+MIN(MAX(MAX(H795,0)-'Tax Tables'!$B$27,0),'Tax Tables'!$B$29)*'Tax Tables'!$B$30,MIN(MAX(H795,0),'Tax Tables'!$B$23)*'Tax Tables'!$B$24+MIN(MAX(MAX(H795,0)-'Tax Tables'!$B$23,0),'Tax Tables'!$B$25)*'Tax Tables'!$B$26))*Calculator!$B$11,Calculator!$B$12)</f>
        <v>382.5</v>
      </c>
      <c r="J795" s="11" t="n">
        <f aca="false">MAX(H795,0)-I795</f>
        <v>8617.5</v>
      </c>
      <c r="K795" s="11" t="n">
        <f aca="false">MIN(IF(A795&gt;0,Calculator!$B$13,0)+E795+Calculator!$B$14,'Tax Tables'!$B$36)</f>
        <v>1000</v>
      </c>
      <c r="L795" s="11" t="n">
        <f aca="false">MAX(A795-K795,0)</f>
        <v>390000</v>
      </c>
      <c r="M795" s="11" t="n">
        <f aca="false">SUMPRODUCT((L795&gt;'Tax Tables'!$A$5:$A$17)*(L795-'Tax Tables'!$A$5:$A$17)*'Tax Tables'!$C$5:$C$17)</f>
        <v>59950</v>
      </c>
      <c r="N795" s="11" t="n">
        <f aca="false">IF(H795&lt;0,-1E+099,A795-E795-M795+J795+(E795+F795)*Calculator!$B$9)</f>
        <v>339667.5</v>
      </c>
      <c r="O795" s="2"/>
      <c r="P795" s="11" t="n">
        <f aca="false">782*$B$3</f>
        <v>391000</v>
      </c>
      <c r="Q795" s="11" t="n">
        <f aca="false">MIN(P795,'Tax Tables'!$B$31*'Tax Tables'!$B$32)</f>
        <v>96000</v>
      </c>
      <c r="R795" s="11" t="n">
        <f aca="false">P795-Q795</f>
        <v>295000</v>
      </c>
      <c r="S795" s="11" t="n">
        <f aca="false">IF(Calculator!$B$6="Yes",MIN(Q795,'Tax Tables'!$B$31*'Tax Tables'!$B$32),0)</f>
        <v>96000</v>
      </c>
      <c r="T795" s="11" t="n">
        <f aca="false">S795*Calculator!$B$7</f>
        <v>19200</v>
      </c>
      <c r="U795" s="11" t="n">
        <f aca="false">S795*Calculator!$B$8</f>
        <v>16320</v>
      </c>
      <c r="V795" s="11" t="n">
        <f aca="false">IF(Q795&gt;0,'Tax Tables'!$B$32*MIN(MAX(Q795/'Tax Tables'!$B$32*'Tax Tables'!$B$33,'Tax Tables'!$B$34),'Tax Tables'!$B$35),0)</f>
        <v>135</v>
      </c>
      <c r="W795" s="11" t="n">
        <f aca="false">Calculator!$B$5-P795-U795-V795</f>
        <v>-7455</v>
      </c>
      <c r="X795" s="11" t="n">
        <f aca="false">'Tax Tables'!$B$22*(MAX(W795,0)-IF(Calculator!$B$10="Yes",MIN(MAX(W795,0),'Tax Tables'!$B$27)*'Tax Tables'!$B$28+MIN(MAX(MAX(W795,0)-'Tax Tables'!$B$27,0),'Tax Tables'!$B$29)*'Tax Tables'!$B$30,MIN(MAX(W795,0),'Tax Tables'!$B$23)*'Tax Tables'!$B$24+MIN(MAX(MAX(W795,0)-'Tax Tables'!$B$23,0),'Tax Tables'!$B$25)*'Tax Tables'!$B$26))*1-MIN('Tax Tables'!$B$22*(MAX(W795,0)-IF(Calculator!$B$10="Yes",MIN(MAX(W795,0),'Tax Tables'!$B$27)*'Tax Tables'!$B$28+MIN(MAX(MAX(W795,0)-'Tax Tables'!$B$27,0),'Tax Tables'!$B$29)*'Tax Tables'!$B$30,MIN(MAX(W795,0),'Tax Tables'!$B$23)*'Tax Tables'!$B$24+MIN(MAX(MAX(W795,0)-'Tax Tables'!$B$23,0),'Tax Tables'!$B$25)*'Tax Tables'!$B$26))*Calculator!$B$11,Calculator!$B$12)</f>
        <v>0</v>
      </c>
      <c r="Y795" s="11" t="n">
        <f aca="false">MAX(W795,0)-X795</f>
        <v>0</v>
      </c>
      <c r="Z795" s="11" t="n">
        <f aca="false">MIN(IF(P795&gt;0,Calculator!$B$13,0)+T795+Calculator!$B$14,'Tax Tables'!$B$36)</f>
        <v>20200</v>
      </c>
      <c r="AA795" s="11" t="n">
        <f aca="false">MAX(P795-Z795,0)</f>
        <v>370800</v>
      </c>
      <c r="AB795" s="11" t="n">
        <f aca="false">SUMPRODUCT((AA795&gt;'Tax Tables'!$A$5:$A$17)*(AA795-'Tax Tables'!$A$5:$A$17)*'Tax Tables'!$C$5:$C$17)</f>
        <v>55726</v>
      </c>
      <c r="AC795" s="11" t="n">
        <f aca="false">IF(W795&lt;0,-1E+099,P795-T795-AB795+Y795+(T795+U795)*Calculator!$B$9)</f>
        <v>-1E+099</v>
      </c>
    </row>
    <row r="796" customFormat="false" ht="15" hidden="false" customHeight="false" outlineLevel="0" collapsed="false">
      <c r="A796" s="11" t="n">
        <f aca="false">783*$B$3</f>
        <v>391500</v>
      </c>
      <c r="B796" s="11" t="n">
        <f aca="false">0</f>
        <v>0</v>
      </c>
      <c r="C796" s="11" t="n">
        <f aca="false">A796-B796</f>
        <v>391500</v>
      </c>
      <c r="D796" s="11" t="n">
        <f aca="false">IF(Calculator!$B$6="Yes",MIN(B796,'Tax Tables'!$B$31*'Tax Tables'!$B$32),0)</f>
        <v>0</v>
      </c>
      <c r="E796" s="11" t="n">
        <f aca="false">D796*Calculator!$B$7</f>
        <v>0</v>
      </c>
      <c r="F796" s="11" t="n">
        <f aca="false">D796*Calculator!$B$8</f>
        <v>0</v>
      </c>
      <c r="G796" s="11" t="n">
        <f aca="false">IF(B796&gt;0,'Tax Tables'!$B$32*MIN(MAX(B796/'Tax Tables'!$B$32*'Tax Tables'!$B$33,'Tax Tables'!$B$34),'Tax Tables'!$B$35),0)</f>
        <v>0</v>
      </c>
      <c r="H796" s="11" t="n">
        <f aca="false">Calculator!$B$5-A796-F796-G796</f>
        <v>8500</v>
      </c>
      <c r="I796" s="11" t="n">
        <f aca="false">'Tax Tables'!$B$22*(MAX(H796,0)-IF(Calculator!$B$10="Yes",MIN(MAX(H796,0),'Tax Tables'!$B$27)*'Tax Tables'!$B$28+MIN(MAX(MAX(H796,0)-'Tax Tables'!$B$27,0),'Tax Tables'!$B$29)*'Tax Tables'!$B$30,MIN(MAX(H796,0),'Tax Tables'!$B$23)*'Tax Tables'!$B$24+MIN(MAX(MAX(H796,0)-'Tax Tables'!$B$23,0),'Tax Tables'!$B$25)*'Tax Tables'!$B$26))*1-MIN('Tax Tables'!$B$22*(MAX(H796,0)-IF(Calculator!$B$10="Yes",MIN(MAX(H796,0),'Tax Tables'!$B$27)*'Tax Tables'!$B$28+MIN(MAX(MAX(H796,0)-'Tax Tables'!$B$27,0),'Tax Tables'!$B$29)*'Tax Tables'!$B$30,MIN(MAX(H796,0),'Tax Tables'!$B$23)*'Tax Tables'!$B$24+MIN(MAX(MAX(H796,0)-'Tax Tables'!$B$23,0),'Tax Tables'!$B$25)*'Tax Tables'!$B$26))*Calculator!$B$11,Calculator!$B$12)</f>
        <v>361.25</v>
      </c>
      <c r="J796" s="11" t="n">
        <f aca="false">MAX(H796,0)-I796</f>
        <v>8138.75</v>
      </c>
      <c r="K796" s="11" t="n">
        <f aca="false">MIN(IF(A796&gt;0,Calculator!$B$13,0)+E796+Calculator!$B$14,'Tax Tables'!$B$36)</f>
        <v>1000</v>
      </c>
      <c r="L796" s="11" t="n">
        <f aca="false">MAX(A796-K796,0)</f>
        <v>390500</v>
      </c>
      <c r="M796" s="11" t="n">
        <f aca="false">SUMPRODUCT((L796&gt;'Tax Tables'!$A$5:$A$17)*(L796-'Tax Tables'!$A$5:$A$17)*'Tax Tables'!$C$5:$C$17)</f>
        <v>60060</v>
      </c>
      <c r="N796" s="11" t="n">
        <f aca="false">IF(H796&lt;0,-1E+099,A796-E796-M796+J796+(E796+F796)*Calculator!$B$9)</f>
        <v>339578.75</v>
      </c>
      <c r="O796" s="2"/>
      <c r="P796" s="11" t="n">
        <f aca="false">783*$B$3</f>
        <v>391500</v>
      </c>
      <c r="Q796" s="11" t="n">
        <f aca="false">MIN(P796,'Tax Tables'!$B$31*'Tax Tables'!$B$32)</f>
        <v>96000</v>
      </c>
      <c r="R796" s="11" t="n">
        <f aca="false">P796-Q796</f>
        <v>295500</v>
      </c>
      <c r="S796" s="11" t="n">
        <f aca="false">IF(Calculator!$B$6="Yes",MIN(Q796,'Tax Tables'!$B$31*'Tax Tables'!$B$32),0)</f>
        <v>96000</v>
      </c>
      <c r="T796" s="11" t="n">
        <f aca="false">S796*Calculator!$B$7</f>
        <v>19200</v>
      </c>
      <c r="U796" s="11" t="n">
        <f aca="false">S796*Calculator!$B$8</f>
        <v>16320</v>
      </c>
      <c r="V796" s="11" t="n">
        <f aca="false">IF(Q796&gt;0,'Tax Tables'!$B$32*MIN(MAX(Q796/'Tax Tables'!$B$32*'Tax Tables'!$B$33,'Tax Tables'!$B$34),'Tax Tables'!$B$35),0)</f>
        <v>135</v>
      </c>
      <c r="W796" s="11" t="n">
        <f aca="false">Calculator!$B$5-P796-U796-V796</f>
        <v>-7955</v>
      </c>
      <c r="X796" s="11" t="n">
        <f aca="false">'Tax Tables'!$B$22*(MAX(W796,0)-IF(Calculator!$B$10="Yes",MIN(MAX(W796,0),'Tax Tables'!$B$27)*'Tax Tables'!$B$28+MIN(MAX(MAX(W796,0)-'Tax Tables'!$B$27,0),'Tax Tables'!$B$29)*'Tax Tables'!$B$30,MIN(MAX(W796,0),'Tax Tables'!$B$23)*'Tax Tables'!$B$24+MIN(MAX(MAX(W796,0)-'Tax Tables'!$B$23,0),'Tax Tables'!$B$25)*'Tax Tables'!$B$26))*1-MIN('Tax Tables'!$B$22*(MAX(W796,0)-IF(Calculator!$B$10="Yes",MIN(MAX(W796,0),'Tax Tables'!$B$27)*'Tax Tables'!$B$28+MIN(MAX(MAX(W796,0)-'Tax Tables'!$B$27,0),'Tax Tables'!$B$29)*'Tax Tables'!$B$30,MIN(MAX(W796,0),'Tax Tables'!$B$23)*'Tax Tables'!$B$24+MIN(MAX(MAX(W796,0)-'Tax Tables'!$B$23,0),'Tax Tables'!$B$25)*'Tax Tables'!$B$26))*Calculator!$B$11,Calculator!$B$12)</f>
        <v>0</v>
      </c>
      <c r="Y796" s="11" t="n">
        <f aca="false">MAX(W796,0)-X796</f>
        <v>0</v>
      </c>
      <c r="Z796" s="11" t="n">
        <f aca="false">MIN(IF(P796&gt;0,Calculator!$B$13,0)+T796+Calculator!$B$14,'Tax Tables'!$B$36)</f>
        <v>20200</v>
      </c>
      <c r="AA796" s="11" t="n">
        <f aca="false">MAX(P796-Z796,0)</f>
        <v>371300</v>
      </c>
      <c r="AB796" s="11" t="n">
        <f aca="false">SUMPRODUCT((AA796&gt;'Tax Tables'!$A$5:$A$17)*(AA796-'Tax Tables'!$A$5:$A$17)*'Tax Tables'!$C$5:$C$17)</f>
        <v>55836</v>
      </c>
      <c r="AC796" s="11" t="n">
        <f aca="false">IF(W796&lt;0,-1E+099,P796-T796-AB796+Y796+(T796+U796)*Calculator!$B$9)</f>
        <v>-1E+099</v>
      </c>
    </row>
    <row r="797" customFormat="false" ht="15" hidden="false" customHeight="false" outlineLevel="0" collapsed="false">
      <c r="A797" s="11" t="n">
        <f aca="false">784*$B$3</f>
        <v>392000</v>
      </c>
      <c r="B797" s="11" t="n">
        <f aca="false">0</f>
        <v>0</v>
      </c>
      <c r="C797" s="11" t="n">
        <f aca="false">A797-B797</f>
        <v>392000</v>
      </c>
      <c r="D797" s="11" t="n">
        <f aca="false">IF(Calculator!$B$6="Yes",MIN(B797,'Tax Tables'!$B$31*'Tax Tables'!$B$32),0)</f>
        <v>0</v>
      </c>
      <c r="E797" s="11" t="n">
        <f aca="false">D797*Calculator!$B$7</f>
        <v>0</v>
      </c>
      <c r="F797" s="11" t="n">
        <f aca="false">D797*Calculator!$B$8</f>
        <v>0</v>
      </c>
      <c r="G797" s="11" t="n">
        <f aca="false">IF(B797&gt;0,'Tax Tables'!$B$32*MIN(MAX(B797/'Tax Tables'!$B$32*'Tax Tables'!$B$33,'Tax Tables'!$B$34),'Tax Tables'!$B$35),0)</f>
        <v>0</v>
      </c>
      <c r="H797" s="11" t="n">
        <f aca="false">Calculator!$B$5-A797-F797-G797</f>
        <v>8000</v>
      </c>
      <c r="I797" s="11" t="n">
        <f aca="false">'Tax Tables'!$B$22*(MAX(H797,0)-IF(Calculator!$B$10="Yes",MIN(MAX(H797,0),'Tax Tables'!$B$27)*'Tax Tables'!$B$28+MIN(MAX(MAX(H797,0)-'Tax Tables'!$B$27,0),'Tax Tables'!$B$29)*'Tax Tables'!$B$30,MIN(MAX(H797,0),'Tax Tables'!$B$23)*'Tax Tables'!$B$24+MIN(MAX(MAX(H797,0)-'Tax Tables'!$B$23,0),'Tax Tables'!$B$25)*'Tax Tables'!$B$26))*1-MIN('Tax Tables'!$B$22*(MAX(H797,0)-IF(Calculator!$B$10="Yes",MIN(MAX(H797,0),'Tax Tables'!$B$27)*'Tax Tables'!$B$28+MIN(MAX(MAX(H797,0)-'Tax Tables'!$B$27,0),'Tax Tables'!$B$29)*'Tax Tables'!$B$30,MIN(MAX(H797,0),'Tax Tables'!$B$23)*'Tax Tables'!$B$24+MIN(MAX(MAX(H797,0)-'Tax Tables'!$B$23,0),'Tax Tables'!$B$25)*'Tax Tables'!$B$26))*Calculator!$B$11,Calculator!$B$12)</f>
        <v>340</v>
      </c>
      <c r="J797" s="11" t="n">
        <f aca="false">MAX(H797,0)-I797</f>
        <v>7660</v>
      </c>
      <c r="K797" s="11" t="n">
        <f aca="false">MIN(IF(A797&gt;0,Calculator!$B$13,0)+E797+Calculator!$B$14,'Tax Tables'!$B$36)</f>
        <v>1000</v>
      </c>
      <c r="L797" s="11" t="n">
        <f aca="false">MAX(A797-K797,0)</f>
        <v>391000</v>
      </c>
      <c r="M797" s="11" t="n">
        <f aca="false">SUMPRODUCT((L797&gt;'Tax Tables'!$A$5:$A$17)*(L797-'Tax Tables'!$A$5:$A$17)*'Tax Tables'!$C$5:$C$17)</f>
        <v>60170</v>
      </c>
      <c r="N797" s="11" t="n">
        <f aca="false">IF(H797&lt;0,-1E+099,A797-E797-M797+J797+(E797+F797)*Calculator!$B$9)</f>
        <v>339490</v>
      </c>
      <c r="O797" s="2"/>
      <c r="P797" s="11" t="n">
        <f aca="false">784*$B$3</f>
        <v>392000</v>
      </c>
      <c r="Q797" s="11" t="n">
        <f aca="false">MIN(P797,'Tax Tables'!$B$31*'Tax Tables'!$B$32)</f>
        <v>96000</v>
      </c>
      <c r="R797" s="11" t="n">
        <f aca="false">P797-Q797</f>
        <v>296000</v>
      </c>
      <c r="S797" s="11" t="n">
        <f aca="false">IF(Calculator!$B$6="Yes",MIN(Q797,'Tax Tables'!$B$31*'Tax Tables'!$B$32),0)</f>
        <v>96000</v>
      </c>
      <c r="T797" s="11" t="n">
        <f aca="false">S797*Calculator!$B$7</f>
        <v>19200</v>
      </c>
      <c r="U797" s="11" t="n">
        <f aca="false">S797*Calculator!$B$8</f>
        <v>16320</v>
      </c>
      <c r="V797" s="11" t="n">
        <f aca="false">IF(Q797&gt;0,'Tax Tables'!$B$32*MIN(MAX(Q797/'Tax Tables'!$B$32*'Tax Tables'!$B$33,'Tax Tables'!$B$34),'Tax Tables'!$B$35),0)</f>
        <v>135</v>
      </c>
      <c r="W797" s="11" t="n">
        <f aca="false">Calculator!$B$5-P797-U797-V797</f>
        <v>-8455</v>
      </c>
      <c r="X797" s="11" t="n">
        <f aca="false">'Tax Tables'!$B$22*(MAX(W797,0)-IF(Calculator!$B$10="Yes",MIN(MAX(W797,0),'Tax Tables'!$B$27)*'Tax Tables'!$B$28+MIN(MAX(MAX(W797,0)-'Tax Tables'!$B$27,0),'Tax Tables'!$B$29)*'Tax Tables'!$B$30,MIN(MAX(W797,0),'Tax Tables'!$B$23)*'Tax Tables'!$B$24+MIN(MAX(MAX(W797,0)-'Tax Tables'!$B$23,0),'Tax Tables'!$B$25)*'Tax Tables'!$B$26))*1-MIN('Tax Tables'!$B$22*(MAX(W797,0)-IF(Calculator!$B$10="Yes",MIN(MAX(W797,0),'Tax Tables'!$B$27)*'Tax Tables'!$B$28+MIN(MAX(MAX(W797,0)-'Tax Tables'!$B$27,0),'Tax Tables'!$B$29)*'Tax Tables'!$B$30,MIN(MAX(W797,0),'Tax Tables'!$B$23)*'Tax Tables'!$B$24+MIN(MAX(MAX(W797,0)-'Tax Tables'!$B$23,0),'Tax Tables'!$B$25)*'Tax Tables'!$B$26))*Calculator!$B$11,Calculator!$B$12)</f>
        <v>0</v>
      </c>
      <c r="Y797" s="11" t="n">
        <f aca="false">MAX(W797,0)-X797</f>
        <v>0</v>
      </c>
      <c r="Z797" s="11" t="n">
        <f aca="false">MIN(IF(P797&gt;0,Calculator!$B$13,0)+T797+Calculator!$B$14,'Tax Tables'!$B$36)</f>
        <v>20200</v>
      </c>
      <c r="AA797" s="11" t="n">
        <f aca="false">MAX(P797-Z797,0)</f>
        <v>371800</v>
      </c>
      <c r="AB797" s="11" t="n">
        <f aca="false">SUMPRODUCT((AA797&gt;'Tax Tables'!$A$5:$A$17)*(AA797-'Tax Tables'!$A$5:$A$17)*'Tax Tables'!$C$5:$C$17)</f>
        <v>55946</v>
      </c>
      <c r="AC797" s="11" t="n">
        <f aca="false">IF(W797&lt;0,-1E+099,P797-T797-AB797+Y797+(T797+U797)*Calculator!$B$9)</f>
        <v>-1E+099</v>
      </c>
    </row>
    <row r="798" customFormat="false" ht="15" hidden="false" customHeight="false" outlineLevel="0" collapsed="false">
      <c r="A798" s="11" t="n">
        <f aca="false">785*$B$3</f>
        <v>392500</v>
      </c>
      <c r="B798" s="11" t="n">
        <f aca="false">0</f>
        <v>0</v>
      </c>
      <c r="C798" s="11" t="n">
        <f aca="false">A798-B798</f>
        <v>392500</v>
      </c>
      <c r="D798" s="11" t="n">
        <f aca="false">IF(Calculator!$B$6="Yes",MIN(B798,'Tax Tables'!$B$31*'Tax Tables'!$B$32),0)</f>
        <v>0</v>
      </c>
      <c r="E798" s="11" t="n">
        <f aca="false">D798*Calculator!$B$7</f>
        <v>0</v>
      </c>
      <c r="F798" s="11" t="n">
        <f aca="false">D798*Calculator!$B$8</f>
        <v>0</v>
      </c>
      <c r="G798" s="11" t="n">
        <f aca="false">IF(B798&gt;0,'Tax Tables'!$B$32*MIN(MAX(B798/'Tax Tables'!$B$32*'Tax Tables'!$B$33,'Tax Tables'!$B$34),'Tax Tables'!$B$35),0)</f>
        <v>0</v>
      </c>
      <c r="H798" s="11" t="n">
        <f aca="false">Calculator!$B$5-A798-F798-G798</f>
        <v>7500</v>
      </c>
      <c r="I798" s="11" t="n">
        <f aca="false">'Tax Tables'!$B$22*(MAX(H798,0)-IF(Calculator!$B$10="Yes",MIN(MAX(H798,0),'Tax Tables'!$B$27)*'Tax Tables'!$B$28+MIN(MAX(MAX(H798,0)-'Tax Tables'!$B$27,0),'Tax Tables'!$B$29)*'Tax Tables'!$B$30,MIN(MAX(H798,0),'Tax Tables'!$B$23)*'Tax Tables'!$B$24+MIN(MAX(MAX(H798,0)-'Tax Tables'!$B$23,0),'Tax Tables'!$B$25)*'Tax Tables'!$B$26))*1-MIN('Tax Tables'!$B$22*(MAX(H798,0)-IF(Calculator!$B$10="Yes",MIN(MAX(H798,0),'Tax Tables'!$B$27)*'Tax Tables'!$B$28+MIN(MAX(MAX(H798,0)-'Tax Tables'!$B$27,0),'Tax Tables'!$B$29)*'Tax Tables'!$B$30,MIN(MAX(H798,0),'Tax Tables'!$B$23)*'Tax Tables'!$B$24+MIN(MAX(MAX(H798,0)-'Tax Tables'!$B$23,0),'Tax Tables'!$B$25)*'Tax Tables'!$B$26))*Calculator!$B$11,Calculator!$B$12)</f>
        <v>318.75</v>
      </c>
      <c r="J798" s="11" t="n">
        <f aca="false">MAX(H798,0)-I798</f>
        <v>7181.25</v>
      </c>
      <c r="K798" s="11" t="n">
        <f aca="false">MIN(IF(A798&gt;0,Calculator!$B$13,0)+E798+Calculator!$B$14,'Tax Tables'!$B$36)</f>
        <v>1000</v>
      </c>
      <c r="L798" s="11" t="n">
        <f aca="false">MAX(A798-K798,0)</f>
        <v>391500</v>
      </c>
      <c r="M798" s="11" t="n">
        <f aca="false">SUMPRODUCT((L798&gt;'Tax Tables'!$A$5:$A$17)*(L798-'Tax Tables'!$A$5:$A$17)*'Tax Tables'!$C$5:$C$17)</f>
        <v>60280</v>
      </c>
      <c r="N798" s="11" t="n">
        <f aca="false">IF(H798&lt;0,-1E+099,A798-E798-M798+J798+(E798+F798)*Calculator!$B$9)</f>
        <v>339401.25</v>
      </c>
      <c r="O798" s="2"/>
      <c r="P798" s="11" t="n">
        <f aca="false">785*$B$3</f>
        <v>392500</v>
      </c>
      <c r="Q798" s="11" t="n">
        <f aca="false">MIN(P798,'Tax Tables'!$B$31*'Tax Tables'!$B$32)</f>
        <v>96000</v>
      </c>
      <c r="R798" s="11" t="n">
        <f aca="false">P798-Q798</f>
        <v>296500</v>
      </c>
      <c r="S798" s="11" t="n">
        <f aca="false">IF(Calculator!$B$6="Yes",MIN(Q798,'Tax Tables'!$B$31*'Tax Tables'!$B$32),0)</f>
        <v>96000</v>
      </c>
      <c r="T798" s="11" t="n">
        <f aca="false">S798*Calculator!$B$7</f>
        <v>19200</v>
      </c>
      <c r="U798" s="11" t="n">
        <f aca="false">S798*Calculator!$B$8</f>
        <v>16320</v>
      </c>
      <c r="V798" s="11" t="n">
        <f aca="false">IF(Q798&gt;0,'Tax Tables'!$B$32*MIN(MAX(Q798/'Tax Tables'!$B$32*'Tax Tables'!$B$33,'Tax Tables'!$B$34),'Tax Tables'!$B$35),0)</f>
        <v>135</v>
      </c>
      <c r="W798" s="11" t="n">
        <f aca="false">Calculator!$B$5-P798-U798-V798</f>
        <v>-8955</v>
      </c>
      <c r="X798" s="11" t="n">
        <f aca="false">'Tax Tables'!$B$22*(MAX(W798,0)-IF(Calculator!$B$10="Yes",MIN(MAX(W798,0),'Tax Tables'!$B$27)*'Tax Tables'!$B$28+MIN(MAX(MAX(W798,0)-'Tax Tables'!$B$27,0),'Tax Tables'!$B$29)*'Tax Tables'!$B$30,MIN(MAX(W798,0),'Tax Tables'!$B$23)*'Tax Tables'!$B$24+MIN(MAX(MAX(W798,0)-'Tax Tables'!$B$23,0),'Tax Tables'!$B$25)*'Tax Tables'!$B$26))*1-MIN('Tax Tables'!$B$22*(MAX(W798,0)-IF(Calculator!$B$10="Yes",MIN(MAX(W798,0),'Tax Tables'!$B$27)*'Tax Tables'!$B$28+MIN(MAX(MAX(W798,0)-'Tax Tables'!$B$27,0),'Tax Tables'!$B$29)*'Tax Tables'!$B$30,MIN(MAX(W798,0),'Tax Tables'!$B$23)*'Tax Tables'!$B$24+MIN(MAX(MAX(W798,0)-'Tax Tables'!$B$23,0),'Tax Tables'!$B$25)*'Tax Tables'!$B$26))*Calculator!$B$11,Calculator!$B$12)</f>
        <v>0</v>
      </c>
      <c r="Y798" s="11" t="n">
        <f aca="false">MAX(W798,0)-X798</f>
        <v>0</v>
      </c>
      <c r="Z798" s="11" t="n">
        <f aca="false">MIN(IF(P798&gt;0,Calculator!$B$13,0)+T798+Calculator!$B$14,'Tax Tables'!$B$36)</f>
        <v>20200</v>
      </c>
      <c r="AA798" s="11" t="n">
        <f aca="false">MAX(P798-Z798,0)</f>
        <v>372300</v>
      </c>
      <c r="AB798" s="11" t="n">
        <f aca="false">SUMPRODUCT((AA798&gt;'Tax Tables'!$A$5:$A$17)*(AA798-'Tax Tables'!$A$5:$A$17)*'Tax Tables'!$C$5:$C$17)</f>
        <v>56056</v>
      </c>
      <c r="AC798" s="11" t="n">
        <f aca="false">IF(W798&lt;0,-1E+099,P798-T798-AB798+Y798+(T798+U798)*Calculator!$B$9)</f>
        <v>-1E+099</v>
      </c>
    </row>
    <row r="799" customFormat="false" ht="15" hidden="false" customHeight="false" outlineLevel="0" collapsed="false">
      <c r="A799" s="11" t="n">
        <f aca="false">786*$B$3</f>
        <v>393000</v>
      </c>
      <c r="B799" s="11" t="n">
        <f aca="false">0</f>
        <v>0</v>
      </c>
      <c r="C799" s="11" t="n">
        <f aca="false">A799-B799</f>
        <v>393000</v>
      </c>
      <c r="D799" s="11" t="n">
        <f aca="false">IF(Calculator!$B$6="Yes",MIN(B799,'Tax Tables'!$B$31*'Tax Tables'!$B$32),0)</f>
        <v>0</v>
      </c>
      <c r="E799" s="11" t="n">
        <f aca="false">D799*Calculator!$B$7</f>
        <v>0</v>
      </c>
      <c r="F799" s="11" t="n">
        <f aca="false">D799*Calculator!$B$8</f>
        <v>0</v>
      </c>
      <c r="G799" s="11" t="n">
        <f aca="false">IF(B799&gt;0,'Tax Tables'!$B$32*MIN(MAX(B799/'Tax Tables'!$B$32*'Tax Tables'!$B$33,'Tax Tables'!$B$34),'Tax Tables'!$B$35),0)</f>
        <v>0</v>
      </c>
      <c r="H799" s="11" t="n">
        <f aca="false">Calculator!$B$5-A799-F799-G799</f>
        <v>7000</v>
      </c>
      <c r="I799" s="11" t="n">
        <f aca="false">'Tax Tables'!$B$22*(MAX(H799,0)-IF(Calculator!$B$10="Yes",MIN(MAX(H799,0),'Tax Tables'!$B$27)*'Tax Tables'!$B$28+MIN(MAX(MAX(H799,0)-'Tax Tables'!$B$27,0),'Tax Tables'!$B$29)*'Tax Tables'!$B$30,MIN(MAX(H799,0),'Tax Tables'!$B$23)*'Tax Tables'!$B$24+MIN(MAX(MAX(H799,0)-'Tax Tables'!$B$23,0),'Tax Tables'!$B$25)*'Tax Tables'!$B$26))*1-MIN('Tax Tables'!$B$22*(MAX(H799,0)-IF(Calculator!$B$10="Yes",MIN(MAX(H799,0),'Tax Tables'!$B$27)*'Tax Tables'!$B$28+MIN(MAX(MAX(H799,0)-'Tax Tables'!$B$27,0),'Tax Tables'!$B$29)*'Tax Tables'!$B$30,MIN(MAX(H799,0),'Tax Tables'!$B$23)*'Tax Tables'!$B$24+MIN(MAX(MAX(H799,0)-'Tax Tables'!$B$23,0),'Tax Tables'!$B$25)*'Tax Tables'!$B$26))*Calculator!$B$11,Calculator!$B$12)</f>
        <v>297.5</v>
      </c>
      <c r="J799" s="11" t="n">
        <f aca="false">MAX(H799,0)-I799</f>
        <v>6702.5</v>
      </c>
      <c r="K799" s="11" t="n">
        <f aca="false">MIN(IF(A799&gt;0,Calculator!$B$13,0)+E799+Calculator!$B$14,'Tax Tables'!$B$36)</f>
        <v>1000</v>
      </c>
      <c r="L799" s="11" t="n">
        <f aca="false">MAX(A799-K799,0)</f>
        <v>392000</v>
      </c>
      <c r="M799" s="11" t="n">
        <f aca="false">SUMPRODUCT((L799&gt;'Tax Tables'!$A$5:$A$17)*(L799-'Tax Tables'!$A$5:$A$17)*'Tax Tables'!$C$5:$C$17)</f>
        <v>60390</v>
      </c>
      <c r="N799" s="11" t="n">
        <f aca="false">IF(H799&lt;0,-1E+099,A799-E799-M799+J799+(E799+F799)*Calculator!$B$9)</f>
        <v>339312.5</v>
      </c>
      <c r="O799" s="2"/>
      <c r="P799" s="11" t="n">
        <f aca="false">786*$B$3</f>
        <v>393000</v>
      </c>
      <c r="Q799" s="11" t="n">
        <f aca="false">MIN(P799,'Tax Tables'!$B$31*'Tax Tables'!$B$32)</f>
        <v>96000</v>
      </c>
      <c r="R799" s="11" t="n">
        <f aca="false">P799-Q799</f>
        <v>297000</v>
      </c>
      <c r="S799" s="11" t="n">
        <f aca="false">IF(Calculator!$B$6="Yes",MIN(Q799,'Tax Tables'!$B$31*'Tax Tables'!$B$32),0)</f>
        <v>96000</v>
      </c>
      <c r="T799" s="11" t="n">
        <f aca="false">S799*Calculator!$B$7</f>
        <v>19200</v>
      </c>
      <c r="U799" s="11" t="n">
        <f aca="false">S799*Calculator!$B$8</f>
        <v>16320</v>
      </c>
      <c r="V799" s="11" t="n">
        <f aca="false">IF(Q799&gt;0,'Tax Tables'!$B$32*MIN(MAX(Q799/'Tax Tables'!$B$32*'Tax Tables'!$B$33,'Tax Tables'!$B$34),'Tax Tables'!$B$35),0)</f>
        <v>135</v>
      </c>
      <c r="W799" s="11" t="n">
        <f aca="false">Calculator!$B$5-P799-U799-V799</f>
        <v>-9455</v>
      </c>
      <c r="X799" s="11" t="n">
        <f aca="false">'Tax Tables'!$B$22*(MAX(W799,0)-IF(Calculator!$B$10="Yes",MIN(MAX(W799,0),'Tax Tables'!$B$27)*'Tax Tables'!$B$28+MIN(MAX(MAX(W799,0)-'Tax Tables'!$B$27,0),'Tax Tables'!$B$29)*'Tax Tables'!$B$30,MIN(MAX(W799,0),'Tax Tables'!$B$23)*'Tax Tables'!$B$24+MIN(MAX(MAX(W799,0)-'Tax Tables'!$B$23,0),'Tax Tables'!$B$25)*'Tax Tables'!$B$26))*1-MIN('Tax Tables'!$B$22*(MAX(W799,0)-IF(Calculator!$B$10="Yes",MIN(MAX(W799,0),'Tax Tables'!$B$27)*'Tax Tables'!$B$28+MIN(MAX(MAX(W799,0)-'Tax Tables'!$B$27,0),'Tax Tables'!$B$29)*'Tax Tables'!$B$30,MIN(MAX(W799,0),'Tax Tables'!$B$23)*'Tax Tables'!$B$24+MIN(MAX(MAX(W799,0)-'Tax Tables'!$B$23,0),'Tax Tables'!$B$25)*'Tax Tables'!$B$26))*Calculator!$B$11,Calculator!$B$12)</f>
        <v>0</v>
      </c>
      <c r="Y799" s="11" t="n">
        <f aca="false">MAX(W799,0)-X799</f>
        <v>0</v>
      </c>
      <c r="Z799" s="11" t="n">
        <f aca="false">MIN(IF(P799&gt;0,Calculator!$B$13,0)+T799+Calculator!$B$14,'Tax Tables'!$B$36)</f>
        <v>20200</v>
      </c>
      <c r="AA799" s="11" t="n">
        <f aca="false">MAX(P799-Z799,0)</f>
        <v>372800</v>
      </c>
      <c r="AB799" s="11" t="n">
        <f aca="false">SUMPRODUCT((AA799&gt;'Tax Tables'!$A$5:$A$17)*(AA799-'Tax Tables'!$A$5:$A$17)*'Tax Tables'!$C$5:$C$17)</f>
        <v>56166</v>
      </c>
      <c r="AC799" s="11" t="n">
        <f aca="false">IF(W799&lt;0,-1E+099,P799-T799-AB799+Y799+(T799+U799)*Calculator!$B$9)</f>
        <v>-1E+099</v>
      </c>
    </row>
    <row r="800" customFormat="false" ht="15" hidden="false" customHeight="false" outlineLevel="0" collapsed="false">
      <c r="A800" s="11" t="n">
        <f aca="false">787*$B$3</f>
        <v>393500</v>
      </c>
      <c r="B800" s="11" t="n">
        <f aca="false">0</f>
        <v>0</v>
      </c>
      <c r="C800" s="11" t="n">
        <f aca="false">A800-B800</f>
        <v>393500</v>
      </c>
      <c r="D800" s="11" t="n">
        <f aca="false">IF(Calculator!$B$6="Yes",MIN(B800,'Tax Tables'!$B$31*'Tax Tables'!$B$32),0)</f>
        <v>0</v>
      </c>
      <c r="E800" s="11" t="n">
        <f aca="false">D800*Calculator!$B$7</f>
        <v>0</v>
      </c>
      <c r="F800" s="11" t="n">
        <f aca="false">D800*Calculator!$B$8</f>
        <v>0</v>
      </c>
      <c r="G800" s="11" t="n">
        <f aca="false">IF(B800&gt;0,'Tax Tables'!$B$32*MIN(MAX(B800/'Tax Tables'!$B$32*'Tax Tables'!$B$33,'Tax Tables'!$B$34),'Tax Tables'!$B$35),0)</f>
        <v>0</v>
      </c>
      <c r="H800" s="11" t="n">
        <f aca="false">Calculator!$B$5-A800-F800-G800</f>
        <v>6500</v>
      </c>
      <c r="I800" s="11" t="n">
        <f aca="false">'Tax Tables'!$B$22*(MAX(H800,0)-IF(Calculator!$B$10="Yes",MIN(MAX(H800,0),'Tax Tables'!$B$27)*'Tax Tables'!$B$28+MIN(MAX(MAX(H800,0)-'Tax Tables'!$B$27,0),'Tax Tables'!$B$29)*'Tax Tables'!$B$30,MIN(MAX(H800,0),'Tax Tables'!$B$23)*'Tax Tables'!$B$24+MIN(MAX(MAX(H800,0)-'Tax Tables'!$B$23,0),'Tax Tables'!$B$25)*'Tax Tables'!$B$26))*1-MIN('Tax Tables'!$B$22*(MAX(H800,0)-IF(Calculator!$B$10="Yes",MIN(MAX(H800,0),'Tax Tables'!$B$27)*'Tax Tables'!$B$28+MIN(MAX(MAX(H800,0)-'Tax Tables'!$B$27,0),'Tax Tables'!$B$29)*'Tax Tables'!$B$30,MIN(MAX(H800,0),'Tax Tables'!$B$23)*'Tax Tables'!$B$24+MIN(MAX(MAX(H800,0)-'Tax Tables'!$B$23,0),'Tax Tables'!$B$25)*'Tax Tables'!$B$26))*Calculator!$B$11,Calculator!$B$12)</f>
        <v>276.25</v>
      </c>
      <c r="J800" s="11" t="n">
        <f aca="false">MAX(H800,0)-I800</f>
        <v>6223.75</v>
      </c>
      <c r="K800" s="11" t="n">
        <f aca="false">MIN(IF(A800&gt;0,Calculator!$B$13,0)+E800+Calculator!$B$14,'Tax Tables'!$B$36)</f>
        <v>1000</v>
      </c>
      <c r="L800" s="11" t="n">
        <f aca="false">MAX(A800-K800,0)</f>
        <v>392500</v>
      </c>
      <c r="M800" s="11" t="n">
        <f aca="false">SUMPRODUCT((L800&gt;'Tax Tables'!$A$5:$A$17)*(L800-'Tax Tables'!$A$5:$A$17)*'Tax Tables'!$C$5:$C$17)</f>
        <v>60500</v>
      </c>
      <c r="N800" s="11" t="n">
        <f aca="false">IF(H800&lt;0,-1E+099,A800-E800-M800+J800+(E800+F800)*Calculator!$B$9)</f>
        <v>339223.75</v>
      </c>
      <c r="O800" s="2"/>
      <c r="P800" s="11" t="n">
        <f aca="false">787*$B$3</f>
        <v>393500</v>
      </c>
      <c r="Q800" s="11" t="n">
        <f aca="false">MIN(P800,'Tax Tables'!$B$31*'Tax Tables'!$B$32)</f>
        <v>96000</v>
      </c>
      <c r="R800" s="11" t="n">
        <f aca="false">P800-Q800</f>
        <v>297500</v>
      </c>
      <c r="S800" s="11" t="n">
        <f aca="false">IF(Calculator!$B$6="Yes",MIN(Q800,'Tax Tables'!$B$31*'Tax Tables'!$B$32),0)</f>
        <v>96000</v>
      </c>
      <c r="T800" s="11" t="n">
        <f aca="false">S800*Calculator!$B$7</f>
        <v>19200</v>
      </c>
      <c r="U800" s="11" t="n">
        <f aca="false">S800*Calculator!$B$8</f>
        <v>16320</v>
      </c>
      <c r="V800" s="11" t="n">
        <f aca="false">IF(Q800&gt;0,'Tax Tables'!$B$32*MIN(MAX(Q800/'Tax Tables'!$B$32*'Tax Tables'!$B$33,'Tax Tables'!$B$34),'Tax Tables'!$B$35),0)</f>
        <v>135</v>
      </c>
      <c r="W800" s="11" t="n">
        <f aca="false">Calculator!$B$5-P800-U800-V800</f>
        <v>-9955</v>
      </c>
      <c r="X800" s="11" t="n">
        <f aca="false">'Tax Tables'!$B$22*(MAX(W800,0)-IF(Calculator!$B$10="Yes",MIN(MAX(W800,0),'Tax Tables'!$B$27)*'Tax Tables'!$B$28+MIN(MAX(MAX(W800,0)-'Tax Tables'!$B$27,0),'Tax Tables'!$B$29)*'Tax Tables'!$B$30,MIN(MAX(W800,0),'Tax Tables'!$B$23)*'Tax Tables'!$B$24+MIN(MAX(MAX(W800,0)-'Tax Tables'!$B$23,0),'Tax Tables'!$B$25)*'Tax Tables'!$B$26))*1-MIN('Tax Tables'!$B$22*(MAX(W800,0)-IF(Calculator!$B$10="Yes",MIN(MAX(W800,0),'Tax Tables'!$B$27)*'Tax Tables'!$B$28+MIN(MAX(MAX(W800,0)-'Tax Tables'!$B$27,0),'Tax Tables'!$B$29)*'Tax Tables'!$B$30,MIN(MAX(W800,0),'Tax Tables'!$B$23)*'Tax Tables'!$B$24+MIN(MAX(MAX(W800,0)-'Tax Tables'!$B$23,0),'Tax Tables'!$B$25)*'Tax Tables'!$B$26))*Calculator!$B$11,Calculator!$B$12)</f>
        <v>0</v>
      </c>
      <c r="Y800" s="11" t="n">
        <f aca="false">MAX(W800,0)-X800</f>
        <v>0</v>
      </c>
      <c r="Z800" s="11" t="n">
        <f aca="false">MIN(IF(P800&gt;0,Calculator!$B$13,0)+T800+Calculator!$B$14,'Tax Tables'!$B$36)</f>
        <v>20200</v>
      </c>
      <c r="AA800" s="11" t="n">
        <f aca="false">MAX(P800-Z800,0)</f>
        <v>373300</v>
      </c>
      <c r="AB800" s="11" t="n">
        <f aca="false">SUMPRODUCT((AA800&gt;'Tax Tables'!$A$5:$A$17)*(AA800-'Tax Tables'!$A$5:$A$17)*'Tax Tables'!$C$5:$C$17)</f>
        <v>56276</v>
      </c>
      <c r="AC800" s="11" t="n">
        <f aca="false">IF(W800&lt;0,-1E+099,P800-T800-AB800+Y800+(T800+U800)*Calculator!$B$9)</f>
        <v>-1E+099</v>
      </c>
    </row>
    <row r="801" customFormat="false" ht="15" hidden="false" customHeight="false" outlineLevel="0" collapsed="false">
      <c r="A801" s="11" t="n">
        <f aca="false">788*$B$3</f>
        <v>394000</v>
      </c>
      <c r="B801" s="11" t="n">
        <f aca="false">0</f>
        <v>0</v>
      </c>
      <c r="C801" s="11" t="n">
        <f aca="false">A801-B801</f>
        <v>394000</v>
      </c>
      <c r="D801" s="11" t="n">
        <f aca="false">IF(Calculator!$B$6="Yes",MIN(B801,'Tax Tables'!$B$31*'Tax Tables'!$B$32),0)</f>
        <v>0</v>
      </c>
      <c r="E801" s="11" t="n">
        <f aca="false">D801*Calculator!$B$7</f>
        <v>0</v>
      </c>
      <c r="F801" s="11" t="n">
        <f aca="false">D801*Calculator!$B$8</f>
        <v>0</v>
      </c>
      <c r="G801" s="11" t="n">
        <f aca="false">IF(B801&gt;0,'Tax Tables'!$B$32*MIN(MAX(B801/'Tax Tables'!$B$32*'Tax Tables'!$B$33,'Tax Tables'!$B$34),'Tax Tables'!$B$35),0)</f>
        <v>0</v>
      </c>
      <c r="H801" s="11" t="n">
        <f aca="false">Calculator!$B$5-A801-F801-G801</f>
        <v>6000</v>
      </c>
      <c r="I801" s="11" t="n">
        <f aca="false">'Tax Tables'!$B$22*(MAX(H801,0)-IF(Calculator!$B$10="Yes",MIN(MAX(H801,0),'Tax Tables'!$B$27)*'Tax Tables'!$B$28+MIN(MAX(MAX(H801,0)-'Tax Tables'!$B$27,0),'Tax Tables'!$B$29)*'Tax Tables'!$B$30,MIN(MAX(H801,0),'Tax Tables'!$B$23)*'Tax Tables'!$B$24+MIN(MAX(MAX(H801,0)-'Tax Tables'!$B$23,0),'Tax Tables'!$B$25)*'Tax Tables'!$B$26))*1-MIN('Tax Tables'!$B$22*(MAX(H801,0)-IF(Calculator!$B$10="Yes",MIN(MAX(H801,0),'Tax Tables'!$B$27)*'Tax Tables'!$B$28+MIN(MAX(MAX(H801,0)-'Tax Tables'!$B$27,0),'Tax Tables'!$B$29)*'Tax Tables'!$B$30,MIN(MAX(H801,0),'Tax Tables'!$B$23)*'Tax Tables'!$B$24+MIN(MAX(MAX(H801,0)-'Tax Tables'!$B$23,0),'Tax Tables'!$B$25)*'Tax Tables'!$B$26))*Calculator!$B$11,Calculator!$B$12)</f>
        <v>255</v>
      </c>
      <c r="J801" s="11" t="n">
        <f aca="false">MAX(H801,0)-I801</f>
        <v>5745</v>
      </c>
      <c r="K801" s="11" t="n">
        <f aca="false">MIN(IF(A801&gt;0,Calculator!$B$13,0)+E801+Calculator!$B$14,'Tax Tables'!$B$36)</f>
        <v>1000</v>
      </c>
      <c r="L801" s="11" t="n">
        <f aca="false">MAX(A801-K801,0)</f>
        <v>393000</v>
      </c>
      <c r="M801" s="11" t="n">
        <f aca="false">SUMPRODUCT((L801&gt;'Tax Tables'!$A$5:$A$17)*(L801-'Tax Tables'!$A$5:$A$17)*'Tax Tables'!$C$5:$C$17)</f>
        <v>60610</v>
      </c>
      <c r="N801" s="11" t="n">
        <f aca="false">IF(H801&lt;0,-1E+099,A801-E801-M801+J801+(E801+F801)*Calculator!$B$9)</f>
        <v>339135</v>
      </c>
      <c r="O801" s="2"/>
      <c r="P801" s="11" t="n">
        <f aca="false">788*$B$3</f>
        <v>394000</v>
      </c>
      <c r="Q801" s="11" t="n">
        <f aca="false">MIN(P801,'Tax Tables'!$B$31*'Tax Tables'!$B$32)</f>
        <v>96000</v>
      </c>
      <c r="R801" s="11" t="n">
        <f aca="false">P801-Q801</f>
        <v>298000</v>
      </c>
      <c r="S801" s="11" t="n">
        <f aca="false">IF(Calculator!$B$6="Yes",MIN(Q801,'Tax Tables'!$B$31*'Tax Tables'!$B$32),0)</f>
        <v>96000</v>
      </c>
      <c r="T801" s="11" t="n">
        <f aca="false">S801*Calculator!$B$7</f>
        <v>19200</v>
      </c>
      <c r="U801" s="11" t="n">
        <f aca="false">S801*Calculator!$B$8</f>
        <v>16320</v>
      </c>
      <c r="V801" s="11" t="n">
        <f aca="false">IF(Q801&gt;0,'Tax Tables'!$B$32*MIN(MAX(Q801/'Tax Tables'!$B$32*'Tax Tables'!$B$33,'Tax Tables'!$B$34),'Tax Tables'!$B$35),0)</f>
        <v>135</v>
      </c>
      <c r="W801" s="11" t="n">
        <f aca="false">Calculator!$B$5-P801-U801-V801</f>
        <v>-10455</v>
      </c>
      <c r="X801" s="11" t="n">
        <f aca="false">'Tax Tables'!$B$22*(MAX(W801,0)-IF(Calculator!$B$10="Yes",MIN(MAX(W801,0),'Tax Tables'!$B$27)*'Tax Tables'!$B$28+MIN(MAX(MAX(W801,0)-'Tax Tables'!$B$27,0),'Tax Tables'!$B$29)*'Tax Tables'!$B$30,MIN(MAX(W801,0),'Tax Tables'!$B$23)*'Tax Tables'!$B$24+MIN(MAX(MAX(W801,0)-'Tax Tables'!$B$23,0),'Tax Tables'!$B$25)*'Tax Tables'!$B$26))*1-MIN('Tax Tables'!$B$22*(MAX(W801,0)-IF(Calculator!$B$10="Yes",MIN(MAX(W801,0),'Tax Tables'!$B$27)*'Tax Tables'!$B$28+MIN(MAX(MAX(W801,0)-'Tax Tables'!$B$27,0),'Tax Tables'!$B$29)*'Tax Tables'!$B$30,MIN(MAX(W801,0),'Tax Tables'!$B$23)*'Tax Tables'!$B$24+MIN(MAX(MAX(W801,0)-'Tax Tables'!$B$23,0),'Tax Tables'!$B$25)*'Tax Tables'!$B$26))*Calculator!$B$11,Calculator!$B$12)</f>
        <v>0</v>
      </c>
      <c r="Y801" s="11" t="n">
        <f aca="false">MAX(W801,0)-X801</f>
        <v>0</v>
      </c>
      <c r="Z801" s="11" t="n">
        <f aca="false">MIN(IF(P801&gt;0,Calculator!$B$13,0)+T801+Calculator!$B$14,'Tax Tables'!$B$36)</f>
        <v>20200</v>
      </c>
      <c r="AA801" s="11" t="n">
        <f aca="false">MAX(P801-Z801,0)</f>
        <v>373800</v>
      </c>
      <c r="AB801" s="11" t="n">
        <f aca="false">SUMPRODUCT((AA801&gt;'Tax Tables'!$A$5:$A$17)*(AA801-'Tax Tables'!$A$5:$A$17)*'Tax Tables'!$C$5:$C$17)</f>
        <v>56386</v>
      </c>
      <c r="AC801" s="11" t="n">
        <f aca="false">IF(W801&lt;0,-1E+099,P801-T801-AB801+Y801+(T801+U801)*Calculator!$B$9)</f>
        <v>-1E+099</v>
      </c>
    </row>
    <row r="802" customFormat="false" ht="15" hidden="false" customHeight="false" outlineLevel="0" collapsed="false">
      <c r="A802" s="11" t="n">
        <f aca="false">789*$B$3</f>
        <v>394500</v>
      </c>
      <c r="B802" s="11" t="n">
        <f aca="false">0</f>
        <v>0</v>
      </c>
      <c r="C802" s="11" t="n">
        <f aca="false">A802-B802</f>
        <v>394500</v>
      </c>
      <c r="D802" s="11" t="n">
        <f aca="false">IF(Calculator!$B$6="Yes",MIN(B802,'Tax Tables'!$B$31*'Tax Tables'!$B$32),0)</f>
        <v>0</v>
      </c>
      <c r="E802" s="11" t="n">
        <f aca="false">D802*Calculator!$B$7</f>
        <v>0</v>
      </c>
      <c r="F802" s="11" t="n">
        <f aca="false">D802*Calculator!$B$8</f>
        <v>0</v>
      </c>
      <c r="G802" s="11" t="n">
        <f aca="false">IF(B802&gt;0,'Tax Tables'!$B$32*MIN(MAX(B802/'Tax Tables'!$B$32*'Tax Tables'!$B$33,'Tax Tables'!$B$34),'Tax Tables'!$B$35),0)</f>
        <v>0</v>
      </c>
      <c r="H802" s="11" t="n">
        <f aca="false">Calculator!$B$5-A802-F802-G802</f>
        <v>5500</v>
      </c>
      <c r="I802" s="11" t="n">
        <f aca="false">'Tax Tables'!$B$22*(MAX(H802,0)-IF(Calculator!$B$10="Yes",MIN(MAX(H802,0),'Tax Tables'!$B$27)*'Tax Tables'!$B$28+MIN(MAX(MAX(H802,0)-'Tax Tables'!$B$27,0),'Tax Tables'!$B$29)*'Tax Tables'!$B$30,MIN(MAX(H802,0),'Tax Tables'!$B$23)*'Tax Tables'!$B$24+MIN(MAX(MAX(H802,0)-'Tax Tables'!$B$23,0),'Tax Tables'!$B$25)*'Tax Tables'!$B$26))*1-MIN('Tax Tables'!$B$22*(MAX(H802,0)-IF(Calculator!$B$10="Yes",MIN(MAX(H802,0),'Tax Tables'!$B$27)*'Tax Tables'!$B$28+MIN(MAX(MAX(H802,0)-'Tax Tables'!$B$27,0),'Tax Tables'!$B$29)*'Tax Tables'!$B$30,MIN(MAX(H802,0),'Tax Tables'!$B$23)*'Tax Tables'!$B$24+MIN(MAX(MAX(H802,0)-'Tax Tables'!$B$23,0),'Tax Tables'!$B$25)*'Tax Tables'!$B$26))*Calculator!$B$11,Calculator!$B$12)</f>
        <v>233.75</v>
      </c>
      <c r="J802" s="11" t="n">
        <f aca="false">MAX(H802,0)-I802</f>
        <v>5266.25</v>
      </c>
      <c r="K802" s="11" t="n">
        <f aca="false">MIN(IF(A802&gt;0,Calculator!$B$13,0)+E802+Calculator!$B$14,'Tax Tables'!$B$36)</f>
        <v>1000</v>
      </c>
      <c r="L802" s="11" t="n">
        <f aca="false">MAX(A802-K802,0)</f>
        <v>393500</v>
      </c>
      <c r="M802" s="11" t="n">
        <f aca="false">SUMPRODUCT((L802&gt;'Tax Tables'!$A$5:$A$17)*(L802-'Tax Tables'!$A$5:$A$17)*'Tax Tables'!$C$5:$C$17)</f>
        <v>60720</v>
      </c>
      <c r="N802" s="11" t="n">
        <f aca="false">IF(H802&lt;0,-1E+099,A802-E802-M802+J802+(E802+F802)*Calculator!$B$9)</f>
        <v>339046.25</v>
      </c>
      <c r="O802" s="2"/>
      <c r="P802" s="11" t="n">
        <f aca="false">789*$B$3</f>
        <v>394500</v>
      </c>
      <c r="Q802" s="11" t="n">
        <f aca="false">MIN(P802,'Tax Tables'!$B$31*'Tax Tables'!$B$32)</f>
        <v>96000</v>
      </c>
      <c r="R802" s="11" t="n">
        <f aca="false">P802-Q802</f>
        <v>298500</v>
      </c>
      <c r="S802" s="11" t="n">
        <f aca="false">IF(Calculator!$B$6="Yes",MIN(Q802,'Tax Tables'!$B$31*'Tax Tables'!$B$32),0)</f>
        <v>96000</v>
      </c>
      <c r="T802" s="11" t="n">
        <f aca="false">S802*Calculator!$B$7</f>
        <v>19200</v>
      </c>
      <c r="U802" s="11" t="n">
        <f aca="false">S802*Calculator!$B$8</f>
        <v>16320</v>
      </c>
      <c r="V802" s="11" t="n">
        <f aca="false">IF(Q802&gt;0,'Tax Tables'!$B$32*MIN(MAX(Q802/'Tax Tables'!$B$32*'Tax Tables'!$B$33,'Tax Tables'!$B$34),'Tax Tables'!$B$35),0)</f>
        <v>135</v>
      </c>
      <c r="W802" s="11" t="n">
        <f aca="false">Calculator!$B$5-P802-U802-V802</f>
        <v>-10955</v>
      </c>
      <c r="X802" s="11" t="n">
        <f aca="false">'Tax Tables'!$B$22*(MAX(W802,0)-IF(Calculator!$B$10="Yes",MIN(MAX(W802,0),'Tax Tables'!$B$27)*'Tax Tables'!$B$28+MIN(MAX(MAX(W802,0)-'Tax Tables'!$B$27,0),'Tax Tables'!$B$29)*'Tax Tables'!$B$30,MIN(MAX(W802,0),'Tax Tables'!$B$23)*'Tax Tables'!$B$24+MIN(MAX(MAX(W802,0)-'Tax Tables'!$B$23,0),'Tax Tables'!$B$25)*'Tax Tables'!$B$26))*1-MIN('Tax Tables'!$B$22*(MAX(W802,0)-IF(Calculator!$B$10="Yes",MIN(MAX(W802,0),'Tax Tables'!$B$27)*'Tax Tables'!$B$28+MIN(MAX(MAX(W802,0)-'Tax Tables'!$B$27,0),'Tax Tables'!$B$29)*'Tax Tables'!$B$30,MIN(MAX(W802,0),'Tax Tables'!$B$23)*'Tax Tables'!$B$24+MIN(MAX(MAX(W802,0)-'Tax Tables'!$B$23,0),'Tax Tables'!$B$25)*'Tax Tables'!$B$26))*Calculator!$B$11,Calculator!$B$12)</f>
        <v>0</v>
      </c>
      <c r="Y802" s="11" t="n">
        <f aca="false">MAX(W802,0)-X802</f>
        <v>0</v>
      </c>
      <c r="Z802" s="11" t="n">
        <f aca="false">MIN(IF(P802&gt;0,Calculator!$B$13,0)+T802+Calculator!$B$14,'Tax Tables'!$B$36)</f>
        <v>20200</v>
      </c>
      <c r="AA802" s="11" t="n">
        <f aca="false">MAX(P802-Z802,0)</f>
        <v>374300</v>
      </c>
      <c r="AB802" s="11" t="n">
        <f aca="false">SUMPRODUCT((AA802&gt;'Tax Tables'!$A$5:$A$17)*(AA802-'Tax Tables'!$A$5:$A$17)*'Tax Tables'!$C$5:$C$17)</f>
        <v>56496</v>
      </c>
      <c r="AC802" s="11" t="n">
        <f aca="false">IF(W802&lt;0,-1E+099,P802-T802-AB802+Y802+(T802+U802)*Calculator!$B$9)</f>
        <v>-1E+099</v>
      </c>
    </row>
    <row r="803" customFormat="false" ht="15" hidden="false" customHeight="false" outlineLevel="0" collapsed="false">
      <c r="A803" s="11" t="n">
        <f aca="false">790*$B$3</f>
        <v>395000</v>
      </c>
      <c r="B803" s="11" t="n">
        <f aca="false">0</f>
        <v>0</v>
      </c>
      <c r="C803" s="11" t="n">
        <f aca="false">A803-B803</f>
        <v>395000</v>
      </c>
      <c r="D803" s="11" t="n">
        <f aca="false">IF(Calculator!$B$6="Yes",MIN(B803,'Tax Tables'!$B$31*'Tax Tables'!$B$32),0)</f>
        <v>0</v>
      </c>
      <c r="E803" s="11" t="n">
        <f aca="false">D803*Calculator!$B$7</f>
        <v>0</v>
      </c>
      <c r="F803" s="11" t="n">
        <f aca="false">D803*Calculator!$B$8</f>
        <v>0</v>
      </c>
      <c r="G803" s="11" t="n">
        <f aca="false">IF(B803&gt;0,'Tax Tables'!$B$32*MIN(MAX(B803/'Tax Tables'!$B$32*'Tax Tables'!$B$33,'Tax Tables'!$B$34),'Tax Tables'!$B$35),0)</f>
        <v>0</v>
      </c>
      <c r="H803" s="11" t="n">
        <f aca="false">Calculator!$B$5-A803-F803-G803</f>
        <v>5000</v>
      </c>
      <c r="I803" s="11" t="n">
        <f aca="false">'Tax Tables'!$B$22*(MAX(H803,0)-IF(Calculator!$B$10="Yes",MIN(MAX(H803,0),'Tax Tables'!$B$27)*'Tax Tables'!$B$28+MIN(MAX(MAX(H803,0)-'Tax Tables'!$B$27,0),'Tax Tables'!$B$29)*'Tax Tables'!$B$30,MIN(MAX(H803,0),'Tax Tables'!$B$23)*'Tax Tables'!$B$24+MIN(MAX(MAX(H803,0)-'Tax Tables'!$B$23,0),'Tax Tables'!$B$25)*'Tax Tables'!$B$26))*1-MIN('Tax Tables'!$B$22*(MAX(H803,0)-IF(Calculator!$B$10="Yes",MIN(MAX(H803,0),'Tax Tables'!$B$27)*'Tax Tables'!$B$28+MIN(MAX(MAX(H803,0)-'Tax Tables'!$B$27,0),'Tax Tables'!$B$29)*'Tax Tables'!$B$30,MIN(MAX(H803,0),'Tax Tables'!$B$23)*'Tax Tables'!$B$24+MIN(MAX(MAX(H803,0)-'Tax Tables'!$B$23,0),'Tax Tables'!$B$25)*'Tax Tables'!$B$26))*Calculator!$B$11,Calculator!$B$12)</f>
        <v>212.5</v>
      </c>
      <c r="J803" s="11" t="n">
        <f aca="false">MAX(H803,0)-I803</f>
        <v>4787.5</v>
      </c>
      <c r="K803" s="11" t="n">
        <f aca="false">MIN(IF(A803&gt;0,Calculator!$B$13,0)+E803+Calculator!$B$14,'Tax Tables'!$B$36)</f>
        <v>1000</v>
      </c>
      <c r="L803" s="11" t="n">
        <f aca="false">MAX(A803-K803,0)</f>
        <v>394000</v>
      </c>
      <c r="M803" s="11" t="n">
        <f aca="false">SUMPRODUCT((L803&gt;'Tax Tables'!$A$5:$A$17)*(L803-'Tax Tables'!$A$5:$A$17)*'Tax Tables'!$C$5:$C$17)</f>
        <v>60830</v>
      </c>
      <c r="N803" s="11" t="n">
        <f aca="false">IF(H803&lt;0,-1E+099,A803-E803-M803+J803+(E803+F803)*Calculator!$B$9)</f>
        <v>338957.5</v>
      </c>
      <c r="O803" s="2"/>
      <c r="P803" s="11" t="n">
        <f aca="false">790*$B$3</f>
        <v>395000</v>
      </c>
      <c r="Q803" s="11" t="n">
        <f aca="false">MIN(P803,'Tax Tables'!$B$31*'Tax Tables'!$B$32)</f>
        <v>96000</v>
      </c>
      <c r="R803" s="11" t="n">
        <f aca="false">P803-Q803</f>
        <v>299000</v>
      </c>
      <c r="S803" s="11" t="n">
        <f aca="false">IF(Calculator!$B$6="Yes",MIN(Q803,'Tax Tables'!$B$31*'Tax Tables'!$B$32),0)</f>
        <v>96000</v>
      </c>
      <c r="T803" s="11" t="n">
        <f aca="false">S803*Calculator!$B$7</f>
        <v>19200</v>
      </c>
      <c r="U803" s="11" t="n">
        <f aca="false">S803*Calculator!$B$8</f>
        <v>16320</v>
      </c>
      <c r="V803" s="11" t="n">
        <f aca="false">IF(Q803&gt;0,'Tax Tables'!$B$32*MIN(MAX(Q803/'Tax Tables'!$B$32*'Tax Tables'!$B$33,'Tax Tables'!$B$34),'Tax Tables'!$B$35),0)</f>
        <v>135</v>
      </c>
      <c r="W803" s="11" t="n">
        <f aca="false">Calculator!$B$5-P803-U803-V803</f>
        <v>-11455</v>
      </c>
      <c r="X803" s="11" t="n">
        <f aca="false">'Tax Tables'!$B$22*(MAX(W803,0)-IF(Calculator!$B$10="Yes",MIN(MAX(W803,0),'Tax Tables'!$B$27)*'Tax Tables'!$B$28+MIN(MAX(MAX(W803,0)-'Tax Tables'!$B$27,0),'Tax Tables'!$B$29)*'Tax Tables'!$B$30,MIN(MAX(W803,0),'Tax Tables'!$B$23)*'Tax Tables'!$B$24+MIN(MAX(MAX(W803,0)-'Tax Tables'!$B$23,0),'Tax Tables'!$B$25)*'Tax Tables'!$B$26))*1-MIN('Tax Tables'!$B$22*(MAX(W803,0)-IF(Calculator!$B$10="Yes",MIN(MAX(W803,0),'Tax Tables'!$B$27)*'Tax Tables'!$B$28+MIN(MAX(MAX(W803,0)-'Tax Tables'!$B$27,0),'Tax Tables'!$B$29)*'Tax Tables'!$B$30,MIN(MAX(W803,0),'Tax Tables'!$B$23)*'Tax Tables'!$B$24+MIN(MAX(MAX(W803,0)-'Tax Tables'!$B$23,0),'Tax Tables'!$B$25)*'Tax Tables'!$B$26))*Calculator!$B$11,Calculator!$B$12)</f>
        <v>0</v>
      </c>
      <c r="Y803" s="11" t="n">
        <f aca="false">MAX(W803,0)-X803</f>
        <v>0</v>
      </c>
      <c r="Z803" s="11" t="n">
        <f aca="false">MIN(IF(P803&gt;0,Calculator!$B$13,0)+T803+Calculator!$B$14,'Tax Tables'!$B$36)</f>
        <v>20200</v>
      </c>
      <c r="AA803" s="11" t="n">
        <f aca="false">MAX(P803-Z803,0)</f>
        <v>374800</v>
      </c>
      <c r="AB803" s="11" t="n">
        <f aca="false">SUMPRODUCT((AA803&gt;'Tax Tables'!$A$5:$A$17)*(AA803-'Tax Tables'!$A$5:$A$17)*'Tax Tables'!$C$5:$C$17)</f>
        <v>56606</v>
      </c>
      <c r="AC803" s="11" t="n">
        <f aca="false">IF(W803&lt;0,-1E+099,P803-T803-AB803+Y803+(T803+U803)*Calculator!$B$9)</f>
        <v>-1E+099</v>
      </c>
    </row>
    <row r="804" customFormat="false" ht="15" hidden="false" customHeight="false" outlineLevel="0" collapsed="false">
      <c r="A804" s="11" t="n">
        <f aca="false">791*$B$3</f>
        <v>395500</v>
      </c>
      <c r="B804" s="11" t="n">
        <f aca="false">0</f>
        <v>0</v>
      </c>
      <c r="C804" s="11" t="n">
        <f aca="false">A804-B804</f>
        <v>395500</v>
      </c>
      <c r="D804" s="11" t="n">
        <f aca="false">IF(Calculator!$B$6="Yes",MIN(B804,'Tax Tables'!$B$31*'Tax Tables'!$B$32),0)</f>
        <v>0</v>
      </c>
      <c r="E804" s="11" t="n">
        <f aca="false">D804*Calculator!$B$7</f>
        <v>0</v>
      </c>
      <c r="F804" s="11" t="n">
        <f aca="false">D804*Calculator!$B$8</f>
        <v>0</v>
      </c>
      <c r="G804" s="11" t="n">
        <f aca="false">IF(B804&gt;0,'Tax Tables'!$B$32*MIN(MAX(B804/'Tax Tables'!$B$32*'Tax Tables'!$B$33,'Tax Tables'!$B$34),'Tax Tables'!$B$35),0)</f>
        <v>0</v>
      </c>
      <c r="H804" s="11" t="n">
        <f aca="false">Calculator!$B$5-A804-F804-G804</f>
        <v>4500</v>
      </c>
      <c r="I804" s="11" t="n">
        <f aca="false">'Tax Tables'!$B$22*(MAX(H804,0)-IF(Calculator!$B$10="Yes",MIN(MAX(H804,0),'Tax Tables'!$B$27)*'Tax Tables'!$B$28+MIN(MAX(MAX(H804,0)-'Tax Tables'!$B$27,0),'Tax Tables'!$B$29)*'Tax Tables'!$B$30,MIN(MAX(H804,0),'Tax Tables'!$B$23)*'Tax Tables'!$B$24+MIN(MAX(MAX(H804,0)-'Tax Tables'!$B$23,0),'Tax Tables'!$B$25)*'Tax Tables'!$B$26))*1-MIN('Tax Tables'!$B$22*(MAX(H804,0)-IF(Calculator!$B$10="Yes",MIN(MAX(H804,0),'Tax Tables'!$B$27)*'Tax Tables'!$B$28+MIN(MAX(MAX(H804,0)-'Tax Tables'!$B$27,0),'Tax Tables'!$B$29)*'Tax Tables'!$B$30,MIN(MAX(H804,0),'Tax Tables'!$B$23)*'Tax Tables'!$B$24+MIN(MAX(MAX(H804,0)-'Tax Tables'!$B$23,0),'Tax Tables'!$B$25)*'Tax Tables'!$B$26))*Calculator!$B$11,Calculator!$B$12)</f>
        <v>191.25</v>
      </c>
      <c r="J804" s="11" t="n">
        <f aca="false">MAX(H804,0)-I804</f>
        <v>4308.75</v>
      </c>
      <c r="K804" s="11" t="n">
        <f aca="false">MIN(IF(A804&gt;0,Calculator!$B$13,0)+E804+Calculator!$B$14,'Tax Tables'!$B$36)</f>
        <v>1000</v>
      </c>
      <c r="L804" s="11" t="n">
        <f aca="false">MAX(A804-K804,0)</f>
        <v>394500</v>
      </c>
      <c r="M804" s="11" t="n">
        <f aca="false">SUMPRODUCT((L804&gt;'Tax Tables'!$A$5:$A$17)*(L804-'Tax Tables'!$A$5:$A$17)*'Tax Tables'!$C$5:$C$17)</f>
        <v>60940</v>
      </c>
      <c r="N804" s="11" t="n">
        <f aca="false">IF(H804&lt;0,-1E+099,A804-E804-M804+J804+(E804+F804)*Calculator!$B$9)</f>
        <v>338868.75</v>
      </c>
      <c r="O804" s="2"/>
      <c r="P804" s="11" t="n">
        <f aca="false">791*$B$3</f>
        <v>395500</v>
      </c>
      <c r="Q804" s="11" t="n">
        <f aca="false">MIN(P804,'Tax Tables'!$B$31*'Tax Tables'!$B$32)</f>
        <v>96000</v>
      </c>
      <c r="R804" s="11" t="n">
        <f aca="false">P804-Q804</f>
        <v>299500</v>
      </c>
      <c r="S804" s="11" t="n">
        <f aca="false">IF(Calculator!$B$6="Yes",MIN(Q804,'Tax Tables'!$B$31*'Tax Tables'!$B$32),0)</f>
        <v>96000</v>
      </c>
      <c r="T804" s="11" t="n">
        <f aca="false">S804*Calculator!$B$7</f>
        <v>19200</v>
      </c>
      <c r="U804" s="11" t="n">
        <f aca="false">S804*Calculator!$B$8</f>
        <v>16320</v>
      </c>
      <c r="V804" s="11" t="n">
        <f aca="false">IF(Q804&gt;0,'Tax Tables'!$B$32*MIN(MAX(Q804/'Tax Tables'!$B$32*'Tax Tables'!$B$33,'Tax Tables'!$B$34),'Tax Tables'!$B$35),0)</f>
        <v>135</v>
      </c>
      <c r="W804" s="11" t="n">
        <f aca="false">Calculator!$B$5-P804-U804-V804</f>
        <v>-11955</v>
      </c>
      <c r="X804" s="11" t="n">
        <f aca="false">'Tax Tables'!$B$22*(MAX(W804,0)-IF(Calculator!$B$10="Yes",MIN(MAX(W804,0),'Tax Tables'!$B$27)*'Tax Tables'!$B$28+MIN(MAX(MAX(W804,0)-'Tax Tables'!$B$27,0),'Tax Tables'!$B$29)*'Tax Tables'!$B$30,MIN(MAX(W804,0),'Tax Tables'!$B$23)*'Tax Tables'!$B$24+MIN(MAX(MAX(W804,0)-'Tax Tables'!$B$23,0),'Tax Tables'!$B$25)*'Tax Tables'!$B$26))*1-MIN('Tax Tables'!$B$22*(MAX(W804,0)-IF(Calculator!$B$10="Yes",MIN(MAX(W804,0),'Tax Tables'!$B$27)*'Tax Tables'!$B$28+MIN(MAX(MAX(W804,0)-'Tax Tables'!$B$27,0),'Tax Tables'!$B$29)*'Tax Tables'!$B$30,MIN(MAX(W804,0),'Tax Tables'!$B$23)*'Tax Tables'!$B$24+MIN(MAX(MAX(W804,0)-'Tax Tables'!$B$23,0),'Tax Tables'!$B$25)*'Tax Tables'!$B$26))*Calculator!$B$11,Calculator!$B$12)</f>
        <v>0</v>
      </c>
      <c r="Y804" s="11" t="n">
        <f aca="false">MAX(W804,0)-X804</f>
        <v>0</v>
      </c>
      <c r="Z804" s="11" t="n">
        <f aca="false">MIN(IF(P804&gt;0,Calculator!$B$13,0)+T804+Calculator!$B$14,'Tax Tables'!$B$36)</f>
        <v>20200</v>
      </c>
      <c r="AA804" s="11" t="n">
        <f aca="false">MAX(P804-Z804,0)</f>
        <v>375300</v>
      </c>
      <c r="AB804" s="11" t="n">
        <f aca="false">SUMPRODUCT((AA804&gt;'Tax Tables'!$A$5:$A$17)*(AA804-'Tax Tables'!$A$5:$A$17)*'Tax Tables'!$C$5:$C$17)</f>
        <v>56716</v>
      </c>
      <c r="AC804" s="11" t="n">
        <f aca="false">IF(W804&lt;0,-1E+099,P804-T804-AB804+Y804+(T804+U804)*Calculator!$B$9)</f>
        <v>-1E+099</v>
      </c>
    </row>
    <row r="805" customFormat="false" ht="15" hidden="false" customHeight="false" outlineLevel="0" collapsed="false">
      <c r="A805" s="11" t="n">
        <f aca="false">792*$B$3</f>
        <v>396000</v>
      </c>
      <c r="B805" s="11" t="n">
        <f aca="false">0</f>
        <v>0</v>
      </c>
      <c r="C805" s="11" t="n">
        <f aca="false">A805-B805</f>
        <v>396000</v>
      </c>
      <c r="D805" s="11" t="n">
        <f aca="false">IF(Calculator!$B$6="Yes",MIN(B805,'Tax Tables'!$B$31*'Tax Tables'!$B$32),0)</f>
        <v>0</v>
      </c>
      <c r="E805" s="11" t="n">
        <f aca="false">D805*Calculator!$B$7</f>
        <v>0</v>
      </c>
      <c r="F805" s="11" t="n">
        <f aca="false">D805*Calculator!$B$8</f>
        <v>0</v>
      </c>
      <c r="G805" s="11" t="n">
        <f aca="false">IF(B805&gt;0,'Tax Tables'!$B$32*MIN(MAX(B805/'Tax Tables'!$B$32*'Tax Tables'!$B$33,'Tax Tables'!$B$34),'Tax Tables'!$B$35),0)</f>
        <v>0</v>
      </c>
      <c r="H805" s="11" t="n">
        <f aca="false">Calculator!$B$5-A805-F805-G805</f>
        <v>4000</v>
      </c>
      <c r="I805" s="11" t="n">
        <f aca="false">'Tax Tables'!$B$22*(MAX(H805,0)-IF(Calculator!$B$10="Yes",MIN(MAX(H805,0),'Tax Tables'!$B$27)*'Tax Tables'!$B$28+MIN(MAX(MAX(H805,0)-'Tax Tables'!$B$27,0),'Tax Tables'!$B$29)*'Tax Tables'!$B$30,MIN(MAX(H805,0),'Tax Tables'!$B$23)*'Tax Tables'!$B$24+MIN(MAX(MAX(H805,0)-'Tax Tables'!$B$23,0),'Tax Tables'!$B$25)*'Tax Tables'!$B$26))*1-MIN('Tax Tables'!$B$22*(MAX(H805,0)-IF(Calculator!$B$10="Yes",MIN(MAX(H805,0),'Tax Tables'!$B$27)*'Tax Tables'!$B$28+MIN(MAX(MAX(H805,0)-'Tax Tables'!$B$27,0),'Tax Tables'!$B$29)*'Tax Tables'!$B$30,MIN(MAX(H805,0),'Tax Tables'!$B$23)*'Tax Tables'!$B$24+MIN(MAX(MAX(H805,0)-'Tax Tables'!$B$23,0),'Tax Tables'!$B$25)*'Tax Tables'!$B$26))*Calculator!$B$11,Calculator!$B$12)</f>
        <v>170</v>
      </c>
      <c r="J805" s="11" t="n">
        <f aca="false">MAX(H805,0)-I805</f>
        <v>3830</v>
      </c>
      <c r="K805" s="11" t="n">
        <f aca="false">MIN(IF(A805&gt;0,Calculator!$B$13,0)+E805+Calculator!$B$14,'Tax Tables'!$B$36)</f>
        <v>1000</v>
      </c>
      <c r="L805" s="11" t="n">
        <f aca="false">MAX(A805-K805,0)</f>
        <v>395000</v>
      </c>
      <c r="M805" s="11" t="n">
        <f aca="false">SUMPRODUCT((L805&gt;'Tax Tables'!$A$5:$A$17)*(L805-'Tax Tables'!$A$5:$A$17)*'Tax Tables'!$C$5:$C$17)</f>
        <v>61050</v>
      </c>
      <c r="N805" s="11" t="n">
        <f aca="false">IF(H805&lt;0,-1E+099,A805-E805-M805+J805+(E805+F805)*Calculator!$B$9)</f>
        <v>338780</v>
      </c>
      <c r="O805" s="2"/>
      <c r="P805" s="11" t="n">
        <f aca="false">792*$B$3</f>
        <v>396000</v>
      </c>
      <c r="Q805" s="11" t="n">
        <f aca="false">MIN(P805,'Tax Tables'!$B$31*'Tax Tables'!$B$32)</f>
        <v>96000</v>
      </c>
      <c r="R805" s="11" t="n">
        <f aca="false">P805-Q805</f>
        <v>300000</v>
      </c>
      <c r="S805" s="11" t="n">
        <f aca="false">IF(Calculator!$B$6="Yes",MIN(Q805,'Tax Tables'!$B$31*'Tax Tables'!$B$32),0)</f>
        <v>96000</v>
      </c>
      <c r="T805" s="11" t="n">
        <f aca="false">S805*Calculator!$B$7</f>
        <v>19200</v>
      </c>
      <c r="U805" s="11" t="n">
        <f aca="false">S805*Calculator!$B$8</f>
        <v>16320</v>
      </c>
      <c r="V805" s="11" t="n">
        <f aca="false">IF(Q805&gt;0,'Tax Tables'!$B$32*MIN(MAX(Q805/'Tax Tables'!$B$32*'Tax Tables'!$B$33,'Tax Tables'!$B$34),'Tax Tables'!$B$35),0)</f>
        <v>135</v>
      </c>
      <c r="W805" s="11" t="n">
        <f aca="false">Calculator!$B$5-P805-U805-V805</f>
        <v>-12455</v>
      </c>
      <c r="X805" s="11" t="n">
        <f aca="false">'Tax Tables'!$B$22*(MAX(W805,0)-IF(Calculator!$B$10="Yes",MIN(MAX(W805,0),'Tax Tables'!$B$27)*'Tax Tables'!$B$28+MIN(MAX(MAX(W805,0)-'Tax Tables'!$B$27,0),'Tax Tables'!$B$29)*'Tax Tables'!$B$30,MIN(MAX(W805,0),'Tax Tables'!$B$23)*'Tax Tables'!$B$24+MIN(MAX(MAX(W805,0)-'Tax Tables'!$B$23,0),'Tax Tables'!$B$25)*'Tax Tables'!$B$26))*1-MIN('Tax Tables'!$B$22*(MAX(W805,0)-IF(Calculator!$B$10="Yes",MIN(MAX(W805,0),'Tax Tables'!$B$27)*'Tax Tables'!$B$28+MIN(MAX(MAX(W805,0)-'Tax Tables'!$B$27,0),'Tax Tables'!$B$29)*'Tax Tables'!$B$30,MIN(MAX(W805,0),'Tax Tables'!$B$23)*'Tax Tables'!$B$24+MIN(MAX(MAX(W805,0)-'Tax Tables'!$B$23,0),'Tax Tables'!$B$25)*'Tax Tables'!$B$26))*Calculator!$B$11,Calculator!$B$12)</f>
        <v>0</v>
      </c>
      <c r="Y805" s="11" t="n">
        <f aca="false">MAX(W805,0)-X805</f>
        <v>0</v>
      </c>
      <c r="Z805" s="11" t="n">
        <f aca="false">MIN(IF(P805&gt;0,Calculator!$B$13,0)+T805+Calculator!$B$14,'Tax Tables'!$B$36)</f>
        <v>20200</v>
      </c>
      <c r="AA805" s="11" t="n">
        <f aca="false">MAX(P805-Z805,0)</f>
        <v>375800</v>
      </c>
      <c r="AB805" s="11" t="n">
        <f aca="false">SUMPRODUCT((AA805&gt;'Tax Tables'!$A$5:$A$17)*(AA805-'Tax Tables'!$A$5:$A$17)*'Tax Tables'!$C$5:$C$17)</f>
        <v>56826</v>
      </c>
      <c r="AC805" s="11" t="n">
        <f aca="false">IF(W805&lt;0,-1E+099,P805-T805-AB805+Y805+(T805+U805)*Calculator!$B$9)</f>
        <v>-1E+099</v>
      </c>
    </row>
    <row r="806" customFormat="false" ht="15" hidden="false" customHeight="false" outlineLevel="0" collapsed="false">
      <c r="A806" s="11" t="n">
        <f aca="false">793*$B$3</f>
        <v>396500</v>
      </c>
      <c r="B806" s="11" t="n">
        <f aca="false">0</f>
        <v>0</v>
      </c>
      <c r="C806" s="11" t="n">
        <f aca="false">A806-B806</f>
        <v>396500</v>
      </c>
      <c r="D806" s="11" t="n">
        <f aca="false">IF(Calculator!$B$6="Yes",MIN(B806,'Tax Tables'!$B$31*'Tax Tables'!$B$32),0)</f>
        <v>0</v>
      </c>
      <c r="E806" s="11" t="n">
        <f aca="false">D806*Calculator!$B$7</f>
        <v>0</v>
      </c>
      <c r="F806" s="11" t="n">
        <f aca="false">D806*Calculator!$B$8</f>
        <v>0</v>
      </c>
      <c r="G806" s="11" t="n">
        <f aca="false">IF(B806&gt;0,'Tax Tables'!$B$32*MIN(MAX(B806/'Tax Tables'!$B$32*'Tax Tables'!$B$33,'Tax Tables'!$B$34),'Tax Tables'!$B$35),0)</f>
        <v>0</v>
      </c>
      <c r="H806" s="11" t="n">
        <f aca="false">Calculator!$B$5-A806-F806-G806</f>
        <v>3500</v>
      </c>
      <c r="I806" s="11" t="n">
        <f aca="false">'Tax Tables'!$B$22*(MAX(H806,0)-IF(Calculator!$B$10="Yes",MIN(MAX(H806,0),'Tax Tables'!$B$27)*'Tax Tables'!$B$28+MIN(MAX(MAX(H806,0)-'Tax Tables'!$B$27,0),'Tax Tables'!$B$29)*'Tax Tables'!$B$30,MIN(MAX(H806,0),'Tax Tables'!$B$23)*'Tax Tables'!$B$24+MIN(MAX(MAX(H806,0)-'Tax Tables'!$B$23,0),'Tax Tables'!$B$25)*'Tax Tables'!$B$26))*1-MIN('Tax Tables'!$B$22*(MAX(H806,0)-IF(Calculator!$B$10="Yes",MIN(MAX(H806,0),'Tax Tables'!$B$27)*'Tax Tables'!$B$28+MIN(MAX(MAX(H806,0)-'Tax Tables'!$B$27,0),'Tax Tables'!$B$29)*'Tax Tables'!$B$30,MIN(MAX(H806,0),'Tax Tables'!$B$23)*'Tax Tables'!$B$24+MIN(MAX(MAX(H806,0)-'Tax Tables'!$B$23,0),'Tax Tables'!$B$25)*'Tax Tables'!$B$26))*Calculator!$B$11,Calculator!$B$12)</f>
        <v>148.75</v>
      </c>
      <c r="J806" s="11" t="n">
        <f aca="false">MAX(H806,0)-I806</f>
        <v>3351.25</v>
      </c>
      <c r="K806" s="11" t="n">
        <f aca="false">MIN(IF(A806&gt;0,Calculator!$B$13,0)+E806+Calculator!$B$14,'Tax Tables'!$B$36)</f>
        <v>1000</v>
      </c>
      <c r="L806" s="11" t="n">
        <f aca="false">MAX(A806-K806,0)</f>
        <v>395500</v>
      </c>
      <c r="M806" s="11" t="n">
        <f aca="false">SUMPRODUCT((L806&gt;'Tax Tables'!$A$5:$A$17)*(L806-'Tax Tables'!$A$5:$A$17)*'Tax Tables'!$C$5:$C$17)</f>
        <v>61160</v>
      </c>
      <c r="N806" s="11" t="n">
        <f aca="false">IF(H806&lt;0,-1E+099,A806-E806-M806+J806+(E806+F806)*Calculator!$B$9)</f>
        <v>338691.25</v>
      </c>
      <c r="O806" s="2"/>
      <c r="P806" s="11" t="n">
        <f aca="false">793*$B$3</f>
        <v>396500</v>
      </c>
      <c r="Q806" s="11" t="n">
        <f aca="false">MIN(P806,'Tax Tables'!$B$31*'Tax Tables'!$B$32)</f>
        <v>96000</v>
      </c>
      <c r="R806" s="11" t="n">
        <f aca="false">P806-Q806</f>
        <v>300500</v>
      </c>
      <c r="S806" s="11" t="n">
        <f aca="false">IF(Calculator!$B$6="Yes",MIN(Q806,'Tax Tables'!$B$31*'Tax Tables'!$B$32),0)</f>
        <v>96000</v>
      </c>
      <c r="T806" s="11" t="n">
        <f aca="false">S806*Calculator!$B$7</f>
        <v>19200</v>
      </c>
      <c r="U806" s="11" t="n">
        <f aca="false">S806*Calculator!$B$8</f>
        <v>16320</v>
      </c>
      <c r="V806" s="11" t="n">
        <f aca="false">IF(Q806&gt;0,'Tax Tables'!$B$32*MIN(MAX(Q806/'Tax Tables'!$B$32*'Tax Tables'!$B$33,'Tax Tables'!$B$34),'Tax Tables'!$B$35),0)</f>
        <v>135</v>
      </c>
      <c r="W806" s="11" t="n">
        <f aca="false">Calculator!$B$5-P806-U806-V806</f>
        <v>-12955</v>
      </c>
      <c r="X806" s="11" t="n">
        <f aca="false">'Tax Tables'!$B$22*(MAX(W806,0)-IF(Calculator!$B$10="Yes",MIN(MAX(W806,0),'Tax Tables'!$B$27)*'Tax Tables'!$B$28+MIN(MAX(MAX(W806,0)-'Tax Tables'!$B$27,0),'Tax Tables'!$B$29)*'Tax Tables'!$B$30,MIN(MAX(W806,0),'Tax Tables'!$B$23)*'Tax Tables'!$B$24+MIN(MAX(MAX(W806,0)-'Tax Tables'!$B$23,0),'Tax Tables'!$B$25)*'Tax Tables'!$B$26))*1-MIN('Tax Tables'!$B$22*(MAX(W806,0)-IF(Calculator!$B$10="Yes",MIN(MAX(W806,0),'Tax Tables'!$B$27)*'Tax Tables'!$B$28+MIN(MAX(MAX(W806,0)-'Tax Tables'!$B$27,0),'Tax Tables'!$B$29)*'Tax Tables'!$B$30,MIN(MAX(W806,0),'Tax Tables'!$B$23)*'Tax Tables'!$B$24+MIN(MAX(MAX(W806,0)-'Tax Tables'!$B$23,0),'Tax Tables'!$B$25)*'Tax Tables'!$B$26))*Calculator!$B$11,Calculator!$B$12)</f>
        <v>0</v>
      </c>
      <c r="Y806" s="11" t="n">
        <f aca="false">MAX(W806,0)-X806</f>
        <v>0</v>
      </c>
      <c r="Z806" s="11" t="n">
        <f aca="false">MIN(IF(P806&gt;0,Calculator!$B$13,0)+T806+Calculator!$B$14,'Tax Tables'!$B$36)</f>
        <v>20200</v>
      </c>
      <c r="AA806" s="11" t="n">
        <f aca="false">MAX(P806-Z806,0)</f>
        <v>376300</v>
      </c>
      <c r="AB806" s="11" t="n">
        <f aca="false">SUMPRODUCT((AA806&gt;'Tax Tables'!$A$5:$A$17)*(AA806-'Tax Tables'!$A$5:$A$17)*'Tax Tables'!$C$5:$C$17)</f>
        <v>56936</v>
      </c>
      <c r="AC806" s="11" t="n">
        <f aca="false">IF(W806&lt;0,-1E+099,P806-T806-AB806+Y806+(T806+U806)*Calculator!$B$9)</f>
        <v>-1E+099</v>
      </c>
    </row>
    <row r="807" customFormat="false" ht="15" hidden="false" customHeight="false" outlineLevel="0" collapsed="false">
      <c r="A807" s="11" t="n">
        <f aca="false">794*$B$3</f>
        <v>397000</v>
      </c>
      <c r="B807" s="11" t="n">
        <f aca="false">0</f>
        <v>0</v>
      </c>
      <c r="C807" s="11" t="n">
        <f aca="false">A807-B807</f>
        <v>397000</v>
      </c>
      <c r="D807" s="11" t="n">
        <f aca="false">IF(Calculator!$B$6="Yes",MIN(B807,'Tax Tables'!$B$31*'Tax Tables'!$B$32),0)</f>
        <v>0</v>
      </c>
      <c r="E807" s="11" t="n">
        <f aca="false">D807*Calculator!$B$7</f>
        <v>0</v>
      </c>
      <c r="F807" s="11" t="n">
        <f aca="false">D807*Calculator!$B$8</f>
        <v>0</v>
      </c>
      <c r="G807" s="11" t="n">
        <f aca="false">IF(B807&gt;0,'Tax Tables'!$B$32*MIN(MAX(B807/'Tax Tables'!$B$32*'Tax Tables'!$B$33,'Tax Tables'!$B$34),'Tax Tables'!$B$35),0)</f>
        <v>0</v>
      </c>
      <c r="H807" s="11" t="n">
        <f aca="false">Calculator!$B$5-A807-F807-G807</f>
        <v>3000</v>
      </c>
      <c r="I807" s="11" t="n">
        <f aca="false">'Tax Tables'!$B$22*(MAX(H807,0)-IF(Calculator!$B$10="Yes",MIN(MAX(H807,0),'Tax Tables'!$B$27)*'Tax Tables'!$B$28+MIN(MAX(MAX(H807,0)-'Tax Tables'!$B$27,0),'Tax Tables'!$B$29)*'Tax Tables'!$B$30,MIN(MAX(H807,0),'Tax Tables'!$B$23)*'Tax Tables'!$B$24+MIN(MAX(MAX(H807,0)-'Tax Tables'!$B$23,0),'Tax Tables'!$B$25)*'Tax Tables'!$B$26))*1-MIN('Tax Tables'!$B$22*(MAX(H807,0)-IF(Calculator!$B$10="Yes",MIN(MAX(H807,0),'Tax Tables'!$B$27)*'Tax Tables'!$B$28+MIN(MAX(MAX(H807,0)-'Tax Tables'!$B$27,0),'Tax Tables'!$B$29)*'Tax Tables'!$B$30,MIN(MAX(H807,0),'Tax Tables'!$B$23)*'Tax Tables'!$B$24+MIN(MAX(MAX(H807,0)-'Tax Tables'!$B$23,0),'Tax Tables'!$B$25)*'Tax Tables'!$B$26))*Calculator!$B$11,Calculator!$B$12)</f>
        <v>127.5</v>
      </c>
      <c r="J807" s="11" t="n">
        <f aca="false">MAX(H807,0)-I807</f>
        <v>2872.5</v>
      </c>
      <c r="K807" s="11" t="n">
        <f aca="false">MIN(IF(A807&gt;0,Calculator!$B$13,0)+E807+Calculator!$B$14,'Tax Tables'!$B$36)</f>
        <v>1000</v>
      </c>
      <c r="L807" s="11" t="n">
        <f aca="false">MAX(A807-K807,0)</f>
        <v>396000</v>
      </c>
      <c r="M807" s="11" t="n">
        <f aca="false">SUMPRODUCT((L807&gt;'Tax Tables'!$A$5:$A$17)*(L807-'Tax Tables'!$A$5:$A$17)*'Tax Tables'!$C$5:$C$17)</f>
        <v>61270</v>
      </c>
      <c r="N807" s="11" t="n">
        <f aca="false">IF(H807&lt;0,-1E+099,A807-E807-M807+J807+(E807+F807)*Calculator!$B$9)</f>
        <v>338602.5</v>
      </c>
      <c r="O807" s="2"/>
      <c r="P807" s="11" t="n">
        <f aca="false">794*$B$3</f>
        <v>397000</v>
      </c>
      <c r="Q807" s="11" t="n">
        <f aca="false">MIN(P807,'Tax Tables'!$B$31*'Tax Tables'!$B$32)</f>
        <v>96000</v>
      </c>
      <c r="R807" s="11" t="n">
        <f aca="false">P807-Q807</f>
        <v>301000</v>
      </c>
      <c r="S807" s="11" t="n">
        <f aca="false">IF(Calculator!$B$6="Yes",MIN(Q807,'Tax Tables'!$B$31*'Tax Tables'!$B$32),0)</f>
        <v>96000</v>
      </c>
      <c r="T807" s="11" t="n">
        <f aca="false">S807*Calculator!$B$7</f>
        <v>19200</v>
      </c>
      <c r="U807" s="11" t="n">
        <f aca="false">S807*Calculator!$B$8</f>
        <v>16320</v>
      </c>
      <c r="V807" s="11" t="n">
        <f aca="false">IF(Q807&gt;0,'Tax Tables'!$B$32*MIN(MAX(Q807/'Tax Tables'!$B$32*'Tax Tables'!$B$33,'Tax Tables'!$B$34),'Tax Tables'!$B$35),0)</f>
        <v>135</v>
      </c>
      <c r="W807" s="11" t="n">
        <f aca="false">Calculator!$B$5-P807-U807-V807</f>
        <v>-13455</v>
      </c>
      <c r="X807" s="11" t="n">
        <f aca="false">'Tax Tables'!$B$22*(MAX(W807,0)-IF(Calculator!$B$10="Yes",MIN(MAX(W807,0),'Tax Tables'!$B$27)*'Tax Tables'!$B$28+MIN(MAX(MAX(W807,0)-'Tax Tables'!$B$27,0),'Tax Tables'!$B$29)*'Tax Tables'!$B$30,MIN(MAX(W807,0),'Tax Tables'!$B$23)*'Tax Tables'!$B$24+MIN(MAX(MAX(W807,0)-'Tax Tables'!$B$23,0),'Tax Tables'!$B$25)*'Tax Tables'!$B$26))*1-MIN('Tax Tables'!$B$22*(MAX(W807,0)-IF(Calculator!$B$10="Yes",MIN(MAX(W807,0),'Tax Tables'!$B$27)*'Tax Tables'!$B$28+MIN(MAX(MAX(W807,0)-'Tax Tables'!$B$27,0),'Tax Tables'!$B$29)*'Tax Tables'!$B$30,MIN(MAX(W807,0),'Tax Tables'!$B$23)*'Tax Tables'!$B$24+MIN(MAX(MAX(W807,0)-'Tax Tables'!$B$23,0),'Tax Tables'!$B$25)*'Tax Tables'!$B$26))*Calculator!$B$11,Calculator!$B$12)</f>
        <v>0</v>
      </c>
      <c r="Y807" s="11" t="n">
        <f aca="false">MAX(W807,0)-X807</f>
        <v>0</v>
      </c>
      <c r="Z807" s="11" t="n">
        <f aca="false">MIN(IF(P807&gt;0,Calculator!$B$13,0)+T807+Calculator!$B$14,'Tax Tables'!$B$36)</f>
        <v>20200</v>
      </c>
      <c r="AA807" s="11" t="n">
        <f aca="false">MAX(P807-Z807,0)</f>
        <v>376800</v>
      </c>
      <c r="AB807" s="11" t="n">
        <f aca="false">SUMPRODUCT((AA807&gt;'Tax Tables'!$A$5:$A$17)*(AA807-'Tax Tables'!$A$5:$A$17)*'Tax Tables'!$C$5:$C$17)</f>
        <v>57046</v>
      </c>
      <c r="AC807" s="11" t="n">
        <f aca="false">IF(W807&lt;0,-1E+099,P807-T807-AB807+Y807+(T807+U807)*Calculator!$B$9)</f>
        <v>-1E+099</v>
      </c>
    </row>
    <row r="808" customFormat="false" ht="15" hidden="false" customHeight="false" outlineLevel="0" collapsed="false">
      <c r="A808" s="11" t="n">
        <f aca="false">795*$B$3</f>
        <v>397500</v>
      </c>
      <c r="B808" s="11" t="n">
        <f aca="false">0</f>
        <v>0</v>
      </c>
      <c r="C808" s="11" t="n">
        <f aca="false">A808-B808</f>
        <v>397500</v>
      </c>
      <c r="D808" s="11" t="n">
        <f aca="false">IF(Calculator!$B$6="Yes",MIN(B808,'Tax Tables'!$B$31*'Tax Tables'!$B$32),0)</f>
        <v>0</v>
      </c>
      <c r="E808" s="11" t="n">
        <f aca="false">D808*Calculator!$B$7</f>
        <v>0</v>
      </c>
      <c r="F808" s="11" t="n">
        <f aca="false">D808*Calculator!$B$8</f>
        <v>0</v>
      </c>
      <c r="G808" s="11" t="n">
        <f aca="false">IF(B808&gt;0,'Tax Tables'!$B$32*MIN(MAX(B808/'Tax Tables'!$B$32*'Tax Tables'!$B$33,'Tax Tables'!$B$34),'Tax Tables'!$B$35),0)</f>
        <v>0</v>
      </c>
      <c r="H808" s="11" t="n">
        <f aca="false">Calculator!$B$5-A808-F808-G808</f>
        <v>2500</v>
      </c>
      <c r="I808" s="11" t="n">
        <f aca="false">'Tax Tables'!$B$22*(MAX(H808,0)-IF(Calculator!$B$10="Yes",MIN(MAX(H808,0),'Tax Tables'!$B$27)*'Tax Tables'!$B$28+MIN(MAX(MAX(H808,0)-'Tax Tables'!$B$27,0),'Tax Tables'!$B$29)*'Tax Tables'!$B$30,MIN(MAX(H808,0),'Tax Tables'!$B$23)*'Tax Tables'!$B$24+MIN(MAX(MAX(H808,0)-'Tax Tables'!$B$23,0),'Tax Tables'!$B$25)*'Tax Tables'!$B$26))*1-MIN('Tax Tables'!$B$22*(MAX(H808,0)-IF(Calculator!$B$10="Yes",MIN(MAX(H808,0),'Tax Tables'!$B$27)*'Tax Tables'!$B$28+MIN(MAX(MAX(H808,0)-'Tax Tables'!$B$27,0),'Tax Tables'!$B$29)*'Tax Tables'!$B$30,MIN(MAX(H808,0),'Tax Tables'!$B$23)*'Tax Tables'!$B$24+MIN(MAX(MAX(H808,0)-'Tax Tables'!$B$23,0),'Tax Tables'!$B$25)*'Tax Tables'!$B$26))*Calculator!$B$11,Calculator!$B$12)</f>
        <v>106.25</v>
      </c>
      <c r="J808" s="11" t="n">
        <f aca="false">MAX(H808,0)-I808</f>
        <v>2393.75</v>
      </c>
      <c r="K808" s="11" t="n">
        <f aca="false">MIN(IF(A808&gt;0,Calculator!$B$13,0)+E808+Calculator!$B$14,'Tax Tables'!$B$36)</f>
        <v>1000</v>
      </c>
      <c r="L808" s="11" t="n">
        <f aca="false">MAX(A808-K808,0)</f>
        <v>396500</v>
      </c>
      <c r="M808" s="11" t="n">
        <f aca="false">SUMPRODUCT((L808&gt;'Tax Tables'!$A$5:$A$17)*(L808-'Tax Tables'!$A$5:$A$17)*'Tax Tables'!$C$5:$C$17)</f>
        <v>61380</v>
      </c>
      <c r="N808" s="11" t="n">
        <f aca="false">IF(H808&lt;0,-1E+099,A808-E808-M808+J808+(E808+F808)*Calculator!$B$9)</f>
        <v>338513.75</v>
      </c>
      <c r="O808" s="2"/>
      <c r="P808" s="11" t="n">
        <f aca="false">795*$B$3</f>
        <v>397500</v>
      </c>
      <c r="Q808" s="11" t="n">
        <f aca="false">MIN(P808,'Tax Tables'!$B$31*'Tax Tables'!$B$32)</f>
        <v>96000</v>
      </c>
      <c r="R808" s="11" t="n">
        <f aca="false">P808-Q808</f>
        <v>301500</v>
      </c>
      <c r="S808" s="11" t="n">
        <f aca="false">IF(Calculator!$B$6="Yes",MIN(Q808,'Tax Tables'!$B$31*'Tax Tables'!$B$32),0)</f>
        <v>96000</v>
      </c>
      <c r="T808" s="11" t="n">
        <f aca="false">S808*Calculator!$B$7</f>
        <v>19200</v>
      </c>
      <c r="U808" s="11" t="n">
        <f aca="false">S808*Calculator!$B$8</f>
        <v>16320</v>
      </c>
      <c r="V808" s="11" t="n">
        <f aca="false">IF(Q808&gt;0,'Tax Tables'!$B$32*MIN(MAX(Q808/'Tax Tables'!$B$32*'Tax Tables'!$B$33,'Tax Tables'!$B$34),'Tax Tables'!$B$35),0)</f>
        <v>135</v>
      </c>
      <c r="W808" s="11" t="n">
        <f aca="false">Calculator!$B$5-P808-U808-V808</f>
        <v>-13955</v>
      </c>
      <c r="X808" s="11" t="n">
        <f aca="false">'Tax Tables'!$B$22*(MAX(W808,0)-IF(Calculator!$B$10="Yes",MIN(MAX(W808,0),'Tax Tables'!$B$27)*'Tax Tables'!$B$28+MIN(MAX(MAX(W808,0)-'Tax Tables'!$B$27,0),'Tax Tables'!$B$29)*'Tax Tables'!$B$30,MIN(MAX(W808,0),'Tax Tables'!$B$23)*'Tax Tables'!$B$24+MIN(MAX(MAX(W808,0)-'Tax Tables'!$B$23,0),'Tax Tables'!$B$25)*'Tax Tables'!$B$26))*1-MIN('Tax Tables'!$B$22*(MAX(W808,0)-IF(Calculator!$B$10="Yes",MIN(MAX(W808,0),'Tax Tables'!$B$27)*'Tax Tables'!$B$28+MIN(MAX(MAX(W808,0)-'Tax Tables'!$B$27,0),'Tax Tables'!$B$29)*'Tax Tables'!$B$30,MIN(MAX(W808,0),'Tax Tables'!$B$23)*'Tax Tables'!$B$24+MIN(MAX(MAX(W808,0)-'Tax Tables'!$B$23,0),'Tax Tables'!$B$25)*'Tax Tables'!$B$26))*Calculator!$B$11,Calculator!$B$12)</f>
        <v>0</v>
      </c>
      <c r="Y808" s="11" t="n">
        <f aca="false">MAX(W808,0)-X808</f>
        <v>0</v>
      </c>
      <c r="Z808" s="11" t="n">
        <f aca="false">MIN(IF(P808&gt;0,Calculator!$B$13,0)+T808+Calculator!$B$14,'Tax Tables'!$B$36)</f>
        <v>20200</v>
      </c>
      <c r="AA808" s="11" t="n">
        <f aca="false">MAX(P808-Z808,0)</f>
        <v>377300</v>
      </c>
      <c r="AB808" s="11" t="n">
        <f aca="false">SUMPRODUCT((AA808&gt;'Tax Tables'!$A$5:$A$17)*(AA808-'Tax Tables'!$A$5:$A$17)*'Tax Tables'!$C$5:$C$17)</f>
        <v>57156</v>
      </c>
      <c r="AC808" s="11" t="n">
        <f aca="false">IF(W808&lt;0,-1E+099,P808-T808-AB808+Y808+(T808+U808)*Calculator!$B$9)</f>
        <v>-1E+099</v>
      </c>
    </row>
    <row r="809" customFormat="false" ht="15" hidden="false" customHeight="false" outlineLevel="0" collapsed="false">
      <c r="A809" s="11" t="n">
        <f aca="false">796*$B$3</f>
        <v>398000</v>
      </c>
      <c r="B809" s="11" t="n">
        <f aca="false">0</f>
        <v>0</v>
      </c>
      <c r="C809" s="11" t="n">
        <f aca="false">A809-B809</f>
        <v>398000</v>
      </c>
      <c r="D809" s="11" t="n">
        <f aca="false">IF(Calculator!$B$6="Yes",MIN(B809,'Tax Tables'!$B$31*'Tax Tables'!$B$32),0)</f>
        <v>0</v>
      </c>
      <c r="E809" s="11" t="n">
        <f aca="false">D809*Calculator!$B$7</f>
        <v>0</v>
      </c>
      <c r="F809" s="11" t="n">
        <f aca="false">D809*Calculator!$B$8</f>
        <v>0</v>
      </c>
      <c r="G809" s="11" t="n">
        <f aca="false">IF(B809&gt;0,'Tax Tables'!$B$32*MIN(MAX(B809/'Tax Tables'!$B$32*'Tax Tables'!$B$33,'Tax Tables'!$B$34),'Tax Tables'!$B$35),0)</f>
        <v>0</v>
      </c>
      <c r="H809" s="11" t="n">
        <f aca="false">Calculator!$B$5-A809-F809-G809</f>
        <v>2000</v>
      </c>
      <c r="I809" s="11" t="n">
        <f aca="false">'Tax Tables'!$B$22*(MAX(H809,0)-IF(Calculator!$B$10="Yes",MIN(MAX(H809,0),'Tax Tables'!$B$27)*'Tax Tables'!$B$28+MIN(MAX(MAX(H809,0)-'Tax Tables'!$B$27,0),'Tax Tables'!$B$29)*'Tax Tables'!$B$30,MIN(MAX(H809,0),'Tax Tables'!$B$23)*'Tax Tables'!$B$24+MIN(MAX(MAX(H809,0)-'Tax Tables'!$B$23,0),'Tax Tables'!$B$25)*'Tax Tables'!$B$26))*1-MIN('Tax Tables'!$B$22*(MAX(H809,0)-IF(Calculator!$B$10="Yes",MIN(MAX(H809,0),'Tax Tables'!$B$27)*'Tax Tables'!$B$28+MIN(MAX(MAX(H809,0)-'Tax Tables'!$B$27,0),'Tax Tables'!$B$29)*'Tax Tables'!$B$30,MIN(MAX(H809,0),'Tax Tables'!$B$23)*'Tax Tables'!$B$24+MIN(MAX(MAX(H809,0)-'Tax Tables'!$B$23,0),'Tax Tables'!$B$25)*'Tax Tables'!$B$26))*Calculator!$B$11,Calculator!$B$12)</f>
        <v>85</v>
      </c>
      <c r="J809" s="11" t="n">
        <f aca="false">MAX(H809,0)-I809</f>
        <v>1915</v>
      </c>
      <c r="K809" s="11" t="n">
        <f aca="false">MIN(IF(A809&gt;0,Calculator!$B$13,0)+E809+Calculator!$B$14,'Tax Tables'!$B$36)</f>
        <v>1000</v>
      </c>
      <c r="L809" s="11" t="n">
        <f aca="false">MAX(A809-K809,0)</f>
        <v>397000</v>
      </c>
      <c r="M809" s="11" t="n">
        <f aca="false">SUMPRODUCT((L809&gt;'Tax Tables'!$A$5:$A$17)*(L809-'Tax Tables'!$A$5:$A$17)*'Tax Tables'!$C$5:$C$17)</f>
        <v>61490</v>
      </c>
      <c r="N809" s="11" t="n">
        <f aca="false">IF(H809&lt;0,-1E+099,A809-E809-M809+J809+(E809+F809)*Calculator!$B$9)</f>
        <v>338425</v>
      </c>
      <c r="O809" s="2"/>
      <c r="P809" s="11" t="n">
        <f aca="false">796*$B$3</f>
        <v>398000</v>
      </c>
      <c r="Q809" s="11" t="n">
        <f aca="false">MIN(P809,'Tax Tables'!$B$31*'Tax Tables'!$B$32)</f>
        <v>96000</v>
      </c>
      <c r="R809" s="11" t="n">
        <f aca="false">P809-Q809</f>
        <v>302000</v>
      </c>
      <c r="S809" s="11" t="n">
        <f aca="false">IF(Calculator!$B$6="Yes",MIN(Q809,'Tax Tables'!$B$31*'Tax Tables'!$B$32),0)</f>
        <v>96000</v>
      </c>
      <c r="T809" s="11" t="n">
        <f aca="false">S809*Calculator!$B$7</f>
        <v>19200</v>
      </c>
      <c r="U809" s="11" t="n">
        <f aca="false">S809*Calculator!$B$8</f>
        <v>16320</v>
      </c>
      <c r="V809" s="11" t="n">
        <f aca="false">IF(Q809&gt;0,'Tax Tables'!$B$32*MIN(MAX(Q809/'Tax Tables'!$B$32*'Tax Tables'!$B$33,'Tax Tables'!$B$34),'Tax Tables'!$B$35),0)</f>
        <v>135</v>
      </c>
      <c r="W809" s="11" t="n">
        <f aca="false">Calculator!$B$5-P809-U809-V809</f>
        <v>-14455</v>
      </c>
      <c r="X809" s="11" t="n">
        <f aca="false">'Tax Tables'!$B$22*(MAX(W809,0)-IF(Calculator!$B$10="Yes",MIN(MAX(W809,0),'Tax Tables'!$B$27)*'Tax Tables'!$B$28+MIN(MAX(MAX(W809,0)-'Tax Tables'!$B$27,0),'Tax Tables'!$B$29)*'Tax Tables'!$B$30,MIN(MAX(W809,0),'Tax Tables'!$B$23)*'Tax Tables'!$B$24+MIN(MAX(MAX(W809,0)-'Tax Tables'!$B$23,0),'Tax Tables'!$B$25)*'Tax Tables'!$B$26))*1-MIN('Tax Tables'!$B$22*(MAX(W809,0)-IF(Calculator!$B$10="Yes",MIN(MAX(W809,0),'Tax Tables'!$B$27)*'Tax Tables'!$B$28+MIN(MAX(MAX(W809,0)-'Tax Tables'!$B$27,0),'Tax Tables'!$B$29)*'Tax Tables'!$B$30,MIN(MAX(W809,0),'Tax Tables'!$B$23)*'Tax Tables'!$B$24+MIN(MAX(MAX(W809,0)-'Tax Tables'!$B$23,0),'Tax Tables'!$B$25)*'Tax Tables'!$B$26))*Calculator!$B$11,Calculator!$B$12)</f>
        <v>0</v>
      </c>
      <c r="Y809" s="11" t="n">
        <f aca="false">MAX(W809,0)-X809</f>
        <v>0</v>
      </c>
      <c r="Z809" s="11" t="n">
        <f aca="false">MIN(IF(P809&gt;0,Calculator!$B$13,0)+T809+Calculator!$B$14,'Tax Tables'!$B$36)</f>
        <v>20200</v>
      </c>
      <c r="AA809" s="11" t="n">
        <f aca="false">MAX(P809-Z809,0)</f>
        <v>377800</v>
      </c>
      <c r="AB809" s="11" t="n">
        <f aca="false">SUMPRODUCT((AA809&gt;'Tax Tables'!$A$5:$A$17)*(AA809-'Tax Tables'!$A$5:$A$17)*'Tax Tables'!$C$5:$C$17)</f>
        <v>57266</v>
      </c>
      <c r="AC809" s="11" t="n">
        <f aca="false">IF(W809&lt;0,-1E+099,P809-T809-AB809+Y809+(T809+U809)*Calculator!$B$9)</f>
        <v>-1E+099</v>
      </c>
    </row>
    <row r="810" customFormat="false" ht="15" hidden="false" customHeight="false" outlineLevel="0" collapsed="false">
      <c r="A810" s="11" t="n">
        <f aca="false">797*$B$3</f>
        <v>398500</v>
      </c>
      <c r="B810" s="11" t="n">
        <f aca="false">0</f>
        <v>0</v>
      </c>
      <c r="C810" s="11" t="n">
        <f aca="false">A810-B810</f>
        <v>398500</v>
      </c>
      <c r="D810" s="11" t="n">
        <f aca="false">IF(Calculator!$B$6="Yes",MIN(B810,'Tax Tables'!$B$31*'Tax Tables'!$B$32),0)</f>
        <v>0</v>
      </c>
      <c r="E810" s="11" t="n">
        <f aca="false">D810*Calculator!$B$7</f>
        <v>0</v>
      </c>
      <c r="F810" s="11" t="n">
        <f aca="false">D810*Calculator!$B$8</f>
        <v>0</v>
      </c>
      <c r="G810" s="11" t="n">
        <f aca="false">IF(B810&gt;0,'Tax Tables'!$B$32*MIN(MAX(B810/'Tax Tables'!$B$32*'Tax Tables'!$B$33,'Tax Tables'!$B$34),'Tax Tables'!$B$35),0)</f>
        <v>0</v>
      </c>
      <c r="H810" s="11" t="n">
        <f aca="false">Calculator!$B$5-A810-F810-G810</f>
        <v>1500</v>
      </c>
      <c r="I810" s="11" t="n">
        <f aca="false">'Tax Tables'!$B$22*(MAX(H810,0)-IF(Calculator!$B$10="Yes",MIN(MAX(H810,0),'Tax Tables'!$B$27)*'Tax Tables'!$B$28+MIN(MAX(MAX(H810,0)-'Tax Tables'!$B$27,0),'Tax Tables'!$B$29)*'Tax Tables'!$B$30,MIN(MAX(H810,0),'Tax Tables'!$B$23)*'Tax Tables'!$B$24+MIN(MAX(MAX(H810,0)-'Tax Tables'!$B$23,0),'Tax Tables'!$B$25)*'Tax Tables'!$B$26))*1-MIN('Tax Tables'!$B$22*(MAX(H810,0)-IF(Calculator!$B$10="Yes",MIN(MAX(H810,0),'Tax Tables'!$B$27)*'Tax Tables'!$B$28+MIN(MAX(MAX(H810,0)-'Tax Tables'!$B$27,0),'Tax Tables'!$B$29)*'Tax Tables'!$B$30,MIN(MAX(H810,0),'Tax Tables'!$B$23)*'Tax Tables'!$B$24+MIN(MAX(MAX(H810,0)-'Tax Tables'!$B$23,0),'Tax Tables'!$B$25)*'Tax Tables'!$B$26))*Calculator!$B$11,Calculator!$B$12)</f>
        <v>63.75</v>
      </c>
      <c r="J810" s="11" t="n">
        <f aca="false">MAX(H810,0)-I810</f>
        <v>1436.25</v>
      </c>
      <c r="K810" s="11" t="n">
        <f aca="false">MIN(IF(A810&gt;0,Calculator!$B$13,0)+E810+Calculator!$B$14,'Tax Tables'!$B$36)</f>
        <v>1000</v>
      </c>
      <c r="L810" s="11" t="n">
        <f aca="false">MAX(A810-K810,0)</f>
        <v>397500</v>
      </c>
      <c r="M810" s="11" t="n">
        <f aca="false">SUMPRODUCT((L810&gt;'Tax Tables'!$A$5:$A$17)*(L810-'Tax Tables'!$A$5:$A$17)*'Tax Tables'!$C$5:$C$17)</f>
        <v>61600</v>
      </c>
      <c r="N810" s="11" t="n">
        <f aca="false">IF(H810&lt;0,-1E+099,A810-E810-M810+J810+(E810+F810)*Calculator!$B$9)</f>
        <v>338336.25</v>
      </c>
      <c r="O810" s="2"/>
      <c r="P810" s="11" t="n">
        <f aca="false">797*$B$3</f>
        <v>398500</v>
      </c>
      <c r="Q810" s="11" t="n">
        <f aca="false">MIN(P810,'Tax Tables'!$B$31*'Tax Tables'!$B$32)</f>
        <v>96000</v>
      </c>
      <c r="R810" s="11" t="n">
        <f aca="false">P810-Q810</f>
        <v>302500</v>
      </c>
      <c r="S810" s="11" t="n">
        <f aca="false">IF(Calculator!$B$6="Yes",MIN(Q810,'Tax Tables'!$B$31*'Tax Tables'!$B$32),0)</f>
        <v>96000</v>
      </c>
      <c r="T810" s="11" t="n">
        <f aca="false">S810*Calculator!$B$7</f>
        <v>19200</v>
      </c>
      <c r="U810" s="11" t="n">
        <f aca="false">S810*Calculator!$B$8</f>
        <v>16320</v>
      </c>
      <c r="V810" s="11" t="n">
        <f aca="false">IF(Q810&gt;0,'Tax Tables'!$B$32*MIN(MAX(Q810/'Tax Tables'!$B$32*'Tax Tables'!$B$33,'Tax Tables'!$B$34),'Tax Tables'!$B$35),0)</f>
        <v>135</v>
      </c>
      <c r="W810" s="11" t="n">
        <f aca="false">Calculator!$B$5-P810-U810-V810</f>
        <v>-14955</v>
      </c>
      <c r="X810" s="11" t="n">
        <f aca="false">'Tax Tables'!$B$22*(MAX(W810,0)-IF(Calculator!$B$10="Yes",MIN(MAX(W810,0),'Tax Tables'!$B$27)*'Tax Tables'!$B$28+MIN(MAX(MAX(W810,0)-'Tax Tables'!$B$27,0),'Tax Tables'!$B$29)*'Tax Tables'!$B$30,MIN(MAX(W810,0),'Tax Tables'!$B$23)*'Tax Tables'!$B$24+MIN(MAX(MAX(W810,0)-'Tax Tables'!$B$23,0),'Tax Tables'!$B$25)*'Tax Tables'!$B$26))*1-MIN('Tax Tables'!$B$22*(MAX(W810,0)-IF(Calculator!$B$10="Yes",MIN(MAX(W810,0),'Tax Tables'!$B$27)*'Tax Tables'!$B$28+MIN(MAX(MAX(W810,0)-'Tax Tables'!$B$27,0),'Tax Tables'!$B$29)*'Tax Tables'!$B$30,MIN(MAX(W810,0),'Tax Tables'!$B$23)*'Tax Tables'!$B$24+MIN(MAX(MAX(W810,0)-'Tax Tables'!$B$23,0),'Tax Tables'!$B$25)*'Tax Tables'!$B$26))*Calculator!$B$11,Calculator!$B$12)</f>
        <v>0</v>
      </c>
      <c r="Y810" s="11" t="n">
        <f aca="false">MAX(W810,0)-X810</f>
        <v>0</v>
      </c>
      <c r="Z810" s="11" t="n">
        <f aca="false">MIN(IF(P810&gt;0,Calculator!$B$13,0)+T810+Calculator!$B$14,'Tax Tables'!$B$36)</f>
        <v>20200</v>
      </c>
      <c r="AA810" s="11" t="n">
        <f aca="false">MAX(P810-Z810,0)</f>
        <v>378300</v>
      </c>
      <c r="AB810" s="11" t="n">
        <f aca="false">SUMPRODUCT((AA810&gt;'Tax Tables'!$A$5:$A$17)*(AA810-'Tax Tables'!$A$5:$A$17)*'Tax Tables'!$C$5:$C$17)</f>
        <v>57376</v>
      </c>
      <c r="AC810" s="11" t="n">
        <f aca="false">IF(W810&lt;0,-1E+099,P810-T810-AB810+Y810+(T810+U810)*Calculator!$B$9)</f>
        <v>-1E+099</v>
      </c>
    </row>
    <row r="811" customFormat="false" ht="15" hidden="false" customHeight="false" outlineLevel="0" collapsed="false">
      <c r="A811" s="11" t="n">
        <f aca="false">798*$B$3</f>
        <v>399000</v>
      </c>
      <c r="B811" s="11" t="n">
        <f aca="false">0</f>
        <v>0</v>
      </c>
      <c r="C811" s="11" t="n">
        <f aca="false">A811-B811</f>
        <v>399000</v>
      </c>
      <c r="D811" s="11" t="n">
        <f aca="false">IF(Calculator!$B$6="Yes",MIN(B811,'Tax Tables'!$B$31*'Tax Tables'!$B$32),0)</f>
        <v>0</v>
      </c>
      <c r="E811" s="11" t="n">
        <f aca="false">D811*Calculator!$B$7</f>
        <v>0</v>
      </c>
      <c r="F811" s="11" t="n">
        <f aca="false">D811*Calculator!$B$8</f>
        <v>0</v>
      </c>
      <c r="G811" s="11" t="n">
        <f aca="false">IF(B811&gt;0,'Tax Tables'!$B$32*MIN(MAX(B811/'Tax Tables'!$B$32*'Tax Tables'!$B$33,'Tax Tables'!$B$34),'Tax Tables'!$B$35),0)</f>
        <v>0</v>
      </c>
      <c r="H811" s="11" t="n">
        <f aca="false">Calculator!$B$5-A811-F811-G811</f>
        <v>1000</v>
      </c>
      <c r="I811" s="11" t="n">
        <f aca="false">'Tax Tables'!$B$22*(MAX(H811,0)-IF(Calculator!$B$10="Yes",MIN(MAX(H811,0),'Tax Tables'!$B$27)*'Tax Tables'!$B$28+MIN(MAX(MAX(H811,0)-'Tax Tables'!$B$27,0),'Tax Tables'!$B$29)*'Tax Tables'!$B$30,MIN(MAX(H811,0),'Tax Tables'!$B$23)*'Tax Tables'!$B$24+MIN(MAX(MAX(H811,0)-'Tax Tables'!$B$23,0),'Tax Tables'!$B$25)*'Tax Tables'!$B$26))*1-MIN('Tax Tables'!$B$22*(MAX(H811,0)-IF(Calculator!$B$10="Yes",MIN(MAX(H811,0),'Tax Tables'!$B$27)*'Tax Tables'!$B$28+MIN(MAX(MAX(H811,0)-'Tax Tables'!$B$27,0),'Tax Tables'!$B$29)*'Tax Tables'!$B$30,MIN(MAX(H811,0),'Tax Tables'!$B$23)*'Tax Tables'!$B$24+MIN(MAX(MAX(H811,0)-'Tax Tables'!$B$23,0),'Tax Tables'!$B$25)*'Tax Tables'!$B$26))*Calculator!$B$11,Calculator!$B$12)</f>
        <v>42.5</v>
      </c>
      <c r="J811" s="11" t="n">
        <f aca="false">MAX(H811,0)-I811</f>
        <v>957.5</v>
      </c>
      <c r="K811" s="11" t="n">
        <f aca="false">MIN(IF(A811&gt;0,Calculator!$B$13,0)+E811+Calculator!$B$14,'Tax Tables'!$B$36)</f>
        <v>1000</v>
      </c>
      <c r="L811" s="11" t="n">
        <f aca="false">MAX(A811-K811,0)</f>
        <v>398000</v>
      </c>
      <c r="M811" s="11" t="n">
        <f aca="false">SUMPRODUCT((L811&gt;'Tax Tables'!$A$5:$A$17)*(L811-'Tax Tables'!$A$5:$A$17)*'Tax Tables'!$C$5:$C$17)</f>
        <v>61710</v>
      </c>
      <c r="N811" s="11" t="n">
        <f aca="false">IF(H811&lt;0,-1E+099,A811-E811-M811+J811+(E811+F811)*Calculator!$B$9)</f>
        <v>338247.5</v>
      </c>
      <c r="O811" s="2"/>
      <c r="P811" s="11" t="n">
        <f aca="false">798*$B$3</f>
        <v>399000</v>
      </c>
      <c r="Q811" s="11" t="n">
        <f aca="false">MIN(P811,'Tax Tables'!$B$31*'Tax Tables'!$B$32)</f>
        <v>96000</v>
      </c>
      <c r="R811" s="11" t="n">
        <f aca="false">P811-Q811</f>
        <v>303000</v>
      </c>
      <c r="S811" s="11" t="n">
        <f aca="false">IF(Calculator!$B$6="Yes",MIN(Q811,'Tax Tables'!$B$31*'Tax Tables'!$B$32),0)</f>
        <v>96000</v>
      </c>
      <c r="T811" s="11" t="n">
        <f aca="false">S811*Calculator!$B$7</f>
        <v>19200</v>
      </c>
      <c r="U811" s="11" t="n">
        <f aca="false">S811*Calculator!$B$8</f>
        <v>16320</v>
      </c>
      <c r="V811" s="11" t="n">
        <f aca="false">IF(Q811&gt;0,'Tax Tables'!$B$32*MIN(MAX(Q811/'Tax Tables'!$B$32*'Tax Tables'!$B$33,'Tax Tables'!$B$34),'Tax Tables'!$B$35),0)</f>
        <v>135</v>
      </c>
      <c r="W811" s="11" t="n">
        <f aca="false">Calculator!$B$5-P811-U811-V811</f>
        <v>-15455</v>
      </c>
      <c r="X811" s="11" t="n">
        <f aca="false">'Tax Tables'!$B$22*(MAX(W811,0)-IF(Calculator!$B$10="Yes",MIN(MAX(W811,0),'Tax Tables'!$B$27)*'Tax Tables'!$B$28+MIN(MAX(MAX(W811,0)-'Tax Tables'!$B$27,0),'Tax Tables'!$B$29)*'Tax Tables'!$B$30,MIN(MAX(W811,0),'Tax Tables'!$B$23)*'Tax Tables'!$B$24+MIN(MAX(MAX(W811,0)-'Tax Tables'!$B$23,0),'Tax Tables'!$B$25)*'Tax Tables'!$B$26))*1-MIN('Tax Tables'!$B$22*(MAX(W811,0)-IF(Calculator!$B$10="Yes",MIN(MAX(W811,0),'Tax Tables'!$B$27)*'Tax Tables'!$B$28+MIN(MAX(MAX(W811,0)-'Tax Tables'!$B$27,0),'Tax Tables'!$B$29)*'Tax Tables'!$B$30,MIN(MAX(W811,0),'Tax Tables'!$B$23)*'Tax Tables'!$B$24+MIN(MAX(MAX(W811,0)-'Tax Tables'!$B$23,0),'Tax Tables'!$B$25)*'Tax Tables'!$B$26))*Calculator!$B$11,Calculator!$B$12)</f>
        <v>0</v>
      </c>
      <c r="Y811" s="11" t="n">
        <f aca="false">MAX(W811,0)-X811</f>
        <v>0</v>
      </c>
      <c r="Z811" s="11" t="n">
        <f aca="false">MIN(IF(P811&gt;0,Calculator!$B$13,0)+T811+Calculator!$B$14,'Tax Tables'!$B$36)</f>
        <v>20200</v>
      </c>
      <c r="AA811" s="11" t="n">
        <f aca="false">MAX(P811-Z811,0)</f>
        <v>378800</v>
      </c>
      <c r="AB811" s="11" t="n">
        <f aca="false">SUMPRODUCT((AA811&gt;'Tax Tables'!$A$5:$A$17)*(AA811-'Tax Tables'!$A$5:$A$17)*'Tax Tables'!$C$5:$C$17)</f>
        <v>57486</v>
      </c>
      <c r="AC811" s="11" t="n">
        <f aca="false">IF(W811&lt;0,-1E+099,P811-T811-AB811+Y811+(T811+U811)*Calculator!$B$9)</f>
        <v>-1E+099</v>
      </c>
    </row>
    <row r="812" customFormat="false" ht="15" hidden="false" customHeight="false" outlineLevel="0" collapsed="false">
      <c r="A812" s="11" t="n">
        <f aca="false">799*$B$3</f>
        <v>399500</v>
      </c>
      <c r="B812" s="11" t="n">
        <f aca="false">0</f>
        <v>0</v>
      </c>
      <c r="C812" s="11" t="n">
        <f aca="false">A812-B812</f>
        <v>399500</v>
      </c>
      <c r="D812" s="11" t="n">
        <f aca="false">IF(Calculator!$B$6="Yes",MIN(B812,'Tax Tables'!$B$31*'Tax Tables'!$B$32),0)</f>
        <v>0</v>
      </c>
      <c r="E812" s="11" t="n">
        <f aca="false">D812*Calculator!$B$7</f>
        <v>0</v>
      </c>
      <c r="F812" s="11" t="n">
        <f aca="false">D812*Calculator!$B$8</f>
        <v>0</v>
      </c>
      <c r="G812" s="11" t="n">
        <f aca="false">IF(B812&gt;0,'Tax Tables'!$B$32*MIN(MAX(B812/'Tax Tables'!$B$32*'Tax Tables'!$B$33,'Tax Tables'!$B$34),'Tax Tables'!$B$35),0)</f>
        <v>0</v>
      </c>
      <c r="H812" s="11" t="n">
        <f aca="false">Calculator!$B$5-A812-F812-G812</f>
        <v>500</v>
      </c>
      <c r="I812" s="11" t="n">
        <f aca="false">'Tax Tables'!$B$22*(MAX(H812,0)-IF(Calculator!$B$10="Yes",MIN(MAX(H812,0),'Tax Tables'!$B$27)*'Tax Tables'!$B$28+MIN(MAX(MAX(H812,0)-'Tax Tables'!$B$27,0),'Tax Tables'!$B$29)*'Tax Tables'!$B$30,MIN(MAX(H812,0),'Tax Tables'!$B$23)*'Tax Tables'!$B$24+MIN(MAX(MAX(H812,0)-'Tax Tables'!$B$23,0),'Tax Tables'!$B$25)*'Tax Tables'!$B$26))*1-MIN('Tax Tables'!$B$22*(MAX(H812,0)-IF(Calculator!$B$10="Yes",MIN(MAX(H812,0),'Tax Tables'!$B$27)*'Tax Tables'!$B$28+MIN(MAX(MAX(H812,0)-'Tax Tables'!$B$27,0),'Tax Tables'!$B$29)*'Tax Tables'!$B$30,MIN(MAX(H812,0),'Tax Tables'!$B$23)*'Tax Tables'!$B$24+MIN(MAX(MAX(H812,0)-'Tax Tables'!$B$23,0),'Tax Tables'!$B$25)*'Tax Tables'!$B$26))*Calculator!$B$11,Calculator!$B$12)</f>
        <v>21.25</v>
      </c>
      <c r="J812" s="11" t="n">
        <f aca="false">MAX(H812,0)-I812</f>
        <v>478.75</v>
      </c>
      <c r="K812" s="11" t="n">
        <f aca="false">MIN(IF(A812&gt;0,Calculator!$B$13,0)+E812+Calculator!$B$14,'Tax Tables'!$B$36)</f>
        <v>1000</v>
      </c>
      <c r="L812" s="11" t="n">
        <f aca="false">MAX(A812-K812,0)</f>
        <v>398500</v>
      </c>
      <c r="M812" s="11" t="n">
        <f aca="false">SUMPRODUCT((L812&gt;'Tax Tables'!$A$5:$A$17)*(L812-'Tax Tables'!$A$5:$A$17)*'Tax Tables'!$C$5:$C$17)</f>
        <v>61820</v>
      </c>
      <c r="N812" s="11" t="n">
        <f aca="false">IF(H812&lt;0,-1E+099,A812-E812-M812+J812+(E812+F812)*Calculator!$B$9)</f>
        <v>338158.75</v>
      </c>
      <c r="O812" s="2"/>
      <c r="P812" s="11" t="n">
        <f aca="false">799*$B$3</f>
        <v>399500</v>
      </c>
      <c r="Q812" s="11" t="n">
        <f aca="false">MIN(P812,'Tax Tables'!$B$31*'Tax Tables'!$B$32)</f>
        <v>96000</v>
      </c>
      <c r="R812" s="11" t="n">
        <f aca="false">P812-Q812</f>
        <v>303500</v>
      </c>
      <c r="S812" s="11" t="n">
        <f aca="false">IF(Calculator!$B$6="Yes",MIN(Q812,'Tax Tables'!$B$31*'Tax Tables'!$B$32),0)</f>
        <v>96000</v>
      </c>
      <c r="T812" s="11" t="n">
        <f aca="false">S812*Calculator!$B$7</f>
        <v>19200</v>
      </c>
      <c r="U812" s="11" t="n">
        <f aca="false">S812*Calculator!$B$8</f>
        <v>16320</v>
      </c>
      <c r="V812" s="11" t="n">
        <f aca="false">IF(Q812&gt;0,'Tax Tables'!$B$32*MIN(MAX(Q812/'Tax Tables'!$B$32*'Tax Tables'!$B$33,'Tax Tables'!$B$34),'Tax Tables'!$B$35),0)</f>
        <v>135</v>
      </c>
      <c r="W812" s="11" t="n">
        <f aca="false">Calculator!$B$5-P812-U812-V812</f>
        <v>-15955</v>
      </c>
      <c r="X812" s="11" t="n">
        <f aca="false">'Tax Tables'!$B$22*(MAX(W812,0)-IF(Calculator!$B$10="Yes",MIN(MAX(W812,0),'Tax Tables'!$B$27)*'Tax Tables'!$B$28+MIN(MAX(MAX(W812,0)-'Tax Tables'!$B$27,0),'Tax Tables'!$B$29)*'Tax Tables'!$B$30,MIN(MAX(W812,0),'Tax Tables'!$B$23)*'Tax Tables'!$B$24+MIN(MAX(MAX(W812,0)-'Tax Tables'!$B$23,0),'Tax Tables'!$B$25)*'Tax Tables'!$B$26))*1-MIN('Tax Tables'!$B$22*(MAX(W812,0)-IF(Calculator!$B$10="Yes",MIN(MAX(W812,0),'Tax Tables'!$B$27)*'Tax Tables'!$B$28+MIN(MAX(MAX(W812,0)-'Tax Tables'!$B$27,0),'Tax Tables'!$B$29)*'Tax Tables'!$B$30,MIN(MAX(W812,0),'Tax Tables'!$B$23)*'Tax Tables'!$B$24+MIN(MAX(MAX(W812,0)-'Tax Tables'!$B$23,0),'Tax Tables'!$B$25)*'Tax Tables'!$B$26))*Calculator!$B$11,Calculator!$B$12)</f>
        <v>0</v>
      </c>
      <c r="Y812" s="11" t="n">
        <f aca="false">MAX(W812,0)-X812</f>
        <v>0</v>
      </c>
      <c r="Z812" s="11" t="n">
        <f aca="false">MIN(IF(P812&gt;0,Calculator!$B$13,0)+T812+Calculator!$B$14,'Tax Tables'!$B$36)</f>
        <v>20200</v>
      </c>
      <c r="AA812" s="11" t="n">
        <f aca="false">MAX(P812-Z812,0)</f>
        <v>379300</v>
      </c>
      <c r="AB812" s="11" t="n">
        <f aca="false">SUMPRODUCT((AA812&gt;'Tax Tables'!$A$5:$A$17)*(AA812-'Tax Tables'!$A$5:$A$17)*'Tax Tables'!$C$5:$C$17)</f>
        <v>57596</v>
      </c>
      <c r="AC812" s="11" t="n">
        <f aca="false">IF(W812&lt;0,-1E+099,P812-T812-AB812+Y812+(T812+U812)*Calculator!$B$9)</f>
        <v>-1E+099</v>
      </c>
    </row>
    <row r="813" customFormat="false" ht="15" hidden="false" customHeight="false" outlineLevel="0" collapsed="false">
      <c r="A813" s="11" t="n">
        <f aca="false">800*$B$3</f>
        <v>400000</v>
      </c>
      <c r="B813" s="11" t="n">
        <f aca="false">0</f>
        <v>0</v>
      </c>
      <c r="C813" s="11" t="n">
        <f aca="false">A813-B813</f>
        <v>400000</v>
      </c>
      <c r="D813" s="11" t="n">
        <f aca="false">IF(Calculator!$B$6="Yes",MIN(B813,'Tax Tables'!$B$31*'Tax Tables'!$B$32),0)</f>
        <v>0</v>
      </c>
      <c r="E813" s="11" t="n">
        <f aca="false">D813*Calculator!$B$7</f>
        <v>0</v>
      </c>
      <c r="F813" s="11" t="n">
        <f aca="false">D813*Calculator!$B$8</f>
        <v>0</v>
      </c>
      <c r="G813" s="11" t="n">
        <f aca="false">IF(B813&gt;0,'Tax Tables'!$B$32*MIN(MAX(B813/'Tax Tables'!$B$32*'Tax Tables'!$B$33,'Tax Tables'!$B$34),'Tax Tables'!$B$35),0)</f>
        <v>0</v>
      </c>
      <c r="H813" s="11" t="n">
        <f aca="false">Calculator!$B$5-A813-F813-G813</f>
        <v>0</v>
      </c>
      <c r="I813" s="11" t="n">
        <f aca="false">'Tax Tables'!$B$22*(MAX(H813,0)-IF(Calculator!$B$10="Yes",MIN(MAX(H813,0),'Tax Tables'!$B$27)*'Tax Tables'!$B$28+MIN(MAX(MAX(H813,0)-'Tax Tables'!$B$27,0),'Tax Tables'!$B$29)*'Tax Tables'!$B$30,MIN(MAX(H813,0),'Tax Tables'!$B$23)*'Tax Tables'!$B$24+MIN(MAX(MAX(H813,0)-'Tax Tables'!$B$23,0),'Tax Tables'!$B$25)*'Tax Tables'!$B$26))*1-MIN('Tax Tables'!$B$22*(MAX(H813,0)-IF(Calculator!$B$10="Yes",MIN(MAX(H813,0),'Tax Tables'!$B$27)*'Tax Tables'!$B$28+MIN(MAX(MAX(H813,0)-'Tax Tables'!$B$27,0),'Tax Tables'!$B$29)*'Tax Tables'!$B$30,MIN(MAX(H813,0),'Tax Tables'!$B$23)*'Tax Tables'!$B$24+MIN(MAX(MAX(H813,0)-'Tax Tables'!$B$23,0),'Tax Tables'!$B$25)*'Tax Tables'!$B$26))*Calculator!$B$11,Calculator!$B$12)</f>
        <v>0</v>
      </c>
      <c r="J813" s="11" t="n">
        <f aca="false">MAX(H813,0)-I813</f>
        <v>0</v>
      </c>
      <c r="K813" s="11" t="n">
        <f aca="false">MIN(IF(A813&gt;0,Calculator!$B$13,0)+E813+Calculator!$B$14,'Tax Tables'!$B$36)</f>
        <v>1000</v>
      </c>
      <c r="L813" s="11" t="n">
        <f aca="false">MAX(A813-K813,0)</f>
        <v>399000</v>
      </c>
      <c r="M813" s="11" t="n">
        <f aca="false">SUMPRODUCT((L813&gt;'Tax Tables'!$A$5:$A$17)*(L813-'Tax Tables'!$A$5:$A$17)*'Tax Tables'!$C$5:$C$17)</f>
        <v>61930</v>
      </c>
      <c r="N813" s="11" t="n">
        <f aca="false">IF(H813&lt;0,-1E+099,A813-E813-M813+J813+(E813+F813)*Calculator!$B$9)</f>
        <v>338070</v>
      </c>
      <c r="O813" s="2"/>
      <c r="P813" s="11" t="n">
        <f aca="false">800*$B$3</f>
        <v>400000</v>
      </c>
      <c r="Q813" s="11" t="n">
        <f aca="false">MIN(P813,'Tax Tables'!$B$31*'Tax Tables'!$B$32)</f>
        <v>96000</v>
      </c>
      <c r="R813" s="11" t="n">
        <f aca="false">P813-Q813</f>
        <v>304000</v>
      </c>
      <c r="S813" s="11" t="n">
        <f aca="false">IF(Calculator!$B$6="Yes",MIN(Q813,'Tax Tables'!$B$31*'Tax Tables'!$B$32),0)</f>
        <v>96000</v>
      </c>
      <c r="T813" s="11" t="n">
        <f aca="false">S813*Calculator!$B$7</f>
        <v>19200</v>
      </c>
      <c r="U813" s="11" t="n">
        <f aca="false">S813*Calculator!$B$8</f>
        <v>16320</v>
      </c>
      <c r="V813" s="11" t="n">
        <f aca="false">IF(Q813&gt;0,'Tax Tables'!$B$32*MIN(MAX(Q813/'Tax Tables'!$B$32*'Tax Tables'!$B$33,'Tax Tables'!$B$34),'Tax Tables'!$B$35),0)</f>
        <v>135</v>
      </c>
      <c r="W813" s="11" t="n">
        <f aca="false">Calculator!$B$5-P813-U813-V813</f>
        <v>-16455</v>
      </c>
      <c r="X813" s="11" t="n">
        <f aca="false">'Tax Tables'!$B$22*(MAX(W813,0)-IF(Calculator!$B$10="Yes",MIN(MAX(W813,0),'Tax Tables'!$B$27)*'Tax Tables'!$B$28+MIN(MAX(MAX(W813,0)-'Tax Tables'!$B$27,0),'Tax Tables'!$B$29)*'Tax Tables'!$B$30,MIN(MAX(W813,0),'Tax Tables'!$B$23)*'Tax Tables'!$B$24+MIN(MAX(MAX(W813,0)-'Tax Tables'!$B$23,0),'Tax Tables'!$B$25)*'Tax Tables'!$B$26))*1-MIN('Tax Tables'!$B$22*(MAX(W813,0)-IF(Calculator!$B$10="Yes",MIN(MAX(W813,0),'Tax Tables'!$B$27)*'Tax Tables'!$B$28+MIN(MAX(MAX(W813,0)-'Tax Tables'!$B$27,0),'Tax Tables'!$B$29)*'Tax Tables'!$B$30,MIN(MAX(W813,0),'Tax Tables'!$B$23)*'Tax Tables'!$B$24+MIN(MAX(MAX(W813,0)-'Tax Tables'!$B$23,0),'Tax Tables'!$B$25)*'Tax Tables'!$B$26))*Calculator!$B$11,Calculator!$B$12)</f>
        <v>0</v>
      </c>
      <c r="Y813" s="11" t="n">
        <f aca="false">MAX(W813,0)-X813</f>
        <v>0</v>
      </c>
      <c r="Z813" s="11" t="n">
        <f aca="false">MIN(IF(P813&gt;0,Calculator!$B$13,0)+T813+Calculator!$B$14,'Tax Tables'!$B$36)</f>
        <v>20200</v>
      </c>
      <c r="AA813" s="11" t="n">
        <f aca="false">MAX(P813-Z813,0)</f>
        <v>379800</v>
      </c>
      <c r="AB813" s="11" t="n">
        <f aca="false">SUMPRODUCT((AA813&gt;'Tax Tables'!$A$5:$A$17)*(AA813-'Tax Tables'!$A$5:$A$17)*'Tax Tables'!$C$5:$C$17)</f>
        <v>57706</v>
      </c>
      <c r="AC813" s="11" t="n">
        <f aca="false">IF(W813&lt;0,-1E+099,P813-T813-AB813+Y813+(T813+U813)*Calculator!$B$9)</f>
        <v>-1E+099</v>
      </c>
    </row>
    <row r="814" customFormat="false" ht="15" hidden="false" customHeight="false" outlineLevel="0" collapsed="false">
      <c r="A814" s="11" t="n">
        <f aca="false">801*$B$3</f>
        <v>400500</v>
      </c>
      <c r="B814" s="11" t="n">
        <f aca="false">0</f>
        <v>0</v>
      </c>
      <c r="C814" s="11" t="n">
        <f aca="false">A814-B814</f>
        <v>400500</v>
      </c>
      <c r="D814" s="11" t="n">
        <f aca="false">IF(Calculator!$B$6="Yes",MIN(B814,'Tax Tables'!$B$31*'Tax Tables'!$B$32),0)</f>
        <v>0</v>
      </c>
      <c r="E814" s="11" t="n">
        <f aca="false">D814*Calculator!$B$7</f>
        <v>0</v>
      </c>
      <c r="F814" s="11" t="n">
        <f aca="false">D814*Calculator!$B$8</f>
        <v>0</v>
      </c>
      <c r="G814" s="11" t="n">
        <f aca="false">IF(B814&gt;0,'Tax Tables'!$B$32*MIN(MAX(B814/'Tax Tables'!$B$32*'Tax Tables'!$B$33,'Tax Tables'!$B$34),'Tax Tables'!$B$35),0)</f>
        <v>0</v>
      </c>
      <c r="H814" s="11" t="n">
        <f aca="false">Calculator!$B$5-A814-F814-G814</f>
        <v>-500</v>
      </c>
      <c r="I814" s="11" t="n">
        <f aca="false">'Tax Tables'!$B$22*(MAX(H814,0)-IF(Calculator!$B$10="Yes",MIN(MAX(H814,0),'Tax Tables'!$B$27)*'Tax Tables'!$B$28+MIN(MAX(MAX(H814,0)-'Tax Tables'!$B$27,0),'Tax Tables'!$B$29)*'Tax Tables'!$B$30,MIN(MAX(H814,0),'Tax Tables'!$B$23)*'Tax Tables'!$B$24+MIN(MAX(MAX(H814,0)-'Tax Tables'!$B$23,0),'Tax Tables'!$B$25)*'Tax Tables'!$B$26))*1-MIN('Tax Tables'!$B$22*(MAX(H814,0)-IF(Calculator!$B$10="Yes",MIN(MAX(H814,0),'Tax Tables'!$B$27)*'Tax Tables'!$B$28+MIN(MAX(MAX(H814,0)-'Tax Tables'!$B$27,0),'Tax Tables'!$B$29)*'Tax Tables'!$B$30,MIN(MAX(H814,0),'Tax Tables'!$B$23)*'Tax Tables'!$B$24+MIN(MAX(MAX(H814,0)-'Tax Tables'!$B$23,0),'Tax Tables'!$B$25)*'Tax Tables'!$B$26))*Calculator!$B$11,Calculator!$B$12)</f>
        <v>0</v>
      </c>
      <c r="J814" s="11" t="n">
        <f aca="false">MAX(H814,0)-I814</f>
        <v>0</v>
      </c>
      <c r="K814" s="11" t="n">
        <f aca="false">MIN(IF(A814&gt;0,Calculator!$B$13,0)+E814+Calculator!$B$14,'Tax Tables'!$B$36)</f>
        <v>1000</v>
      </c>
      <c r="L814" s="11" t="n">
        <f aca="false">MAX(A814-K814,0)</f>
        <v>399500</v>
      </c>
      <c r="M814" s="11" t="n">
        <f aca="false">SUMPRODUCT((L814&gt;'Tax Tables'!$A$5:$A$17)*(L814-'Tax Tables'!$A$5:$A$17)*'Tax Tables'!$C$5:$C$17)</f>
        <v>62040</v>
      </c>
      <c r="N814" s="11" t="n">
        <f aca="false">IF(H814&lt;0,-1E+099,A814-E814-M814+J814+(E814+F814)*Calculator!$B$9)</f>
        <v>-1E+099</v>
      </c>
      <c r="O814" s="2"/>
      <c r="P814" s="11" t="n">
        <f aca="false">801*$B$3</f>
        <v>400500</v>
      </c>
      <c r="Q814" s="11" t="n">
        <f aca="false">MIN(P814,'Tax Tables'!$B$31*'Tax Tables'!$B$32)</f>
        <v>96000</v>
      </c>
      <c r="R814" s="11" t="n">
        <f aca="false">P814-Q814</f>
        <v>304500</v>
      </c>
      <c r="S814" s="11" t="n">
        <f aca="false">IF(Calculator!$B$6="Yes",MIN(Q814,'Tax Tables'!$B$31*'Tax Tables'!$B$32),0)</f>
        <v>96000</v>
      </c>
      <c r="T814" s="11" t="n">
        <f aca="false">S814*Calculator!$B$7</f>
        <v>19200</v>
      </c>
      <c r="U814" s="11" t="n">
        <f aca="false">S814*Calculator!$B$8</f>
        <v>16320</v>
      </c>
      <c r="V814" s="11" t="n">
        <f aca="false">IF(Q814&gt;0,'Tax Tables'!$B$32*MIN(MAX(Q814/'Tax Tables'!$B$32*'Tax Tables'!$B$33,'Tax Tables'!$B$34),'Tax Tables'!$B$35),0)</f>
        <v>135</v>
      </c>
      <c r="W814" s="11" t="n">
        <f aca="false">Calculator!$B$5-P814-U814-V814</f>
        <v>-16955</v>
      </c>
      <c r="X814" s="11" t="n">
        <f aca="false">'Tax Tables'!$B$22*(MAX(W814,0)-IF(Calculator!$B$10="Yes",MIN(MAX(W814,0),'Tax Tables'!$B$27)*'Tax Tables'!$B$28+MIN(MAX(MAX(W814,0)-'Tax Tables'!$B$27,0),'Tax Tables'!$B$29)*'Tax Tables'!$B$30,MIN(MAX(W814,0),'Tax Tables'!$B$23)*'Tax Tables'!$B$24+MIN(MAX(MAX(W814,0)-'Tax Tables'!$B$23,0),'Tax Tables'!$B$25)*'Tax Tables'!$B$26))*1-MIN('Tax Tables'!$B$22*(MAX(W814,0)-IF(Calculator!$B$10="Yes",MIN(MAX(W814,0),'Tax Tables'!$B$27)*'Tax Tables'!$B$28+MIN(MAX(MAX(W814,0)-'Tax Tables'!$B$27,0),'Tax Tables'!$B$29)*'Tax Tables'!$B$30,MIN(MAX(W814,0),'Tax Tables'!$B$23)*'Tax Tables'!$B$24+MIN(MAX(MAX(W814,0)-'Tax Tables'!$B$23,0),'Tax Tables'!$B$25)*'Tax Tables'!$B$26))*Calculator!$B$11,Calculator!$B$12)</f>
        <v>0</v>
      </c>
      <c r="Y814" s="11" t="n">
        <f aca="false">MAX(W814,0)-X814</f>
        <v>0</v>
      </c>
      <c r="Z814" s="11" t="n">
        <f aca="false">MIN(IF(P814&gt;0,Calculator!$B$13,0)+T814+Calculator!$B$14,'Tax Tables'!$B$36)</f>
        <v>20200</v>
      </c>
      <c r="AA814" s="11" t="n">
        <f aca="false">MAX(P814-Z814,0)</f>
        <v>380300</v>
      </c>
      <c r="AB814" s="11" t="n">
        <f aca="false">SUMPRODUCT((AA814&gt;'Tax Tables'!$A$5:$A$17)*(AA814-'Tax Tables'!$A$5:$A$17)*'Tax Tables'!$C$5:$C$17)</f>
        <v>57816</v>
      </c>
      <c r="AC814" s="11" t="n">
        <f aca="false">IF(W814&lt;0,-1E+099,P814-T814-AB814+Y814+(T814+U814)*Calculator!$B$9)</f>
        <v>-1E+099</v>
      </c>
    </row>
    <row r="815" customFormat="false" ht="15" hidden="false" customHeight="false" outlineLevel="0" collapsed="false">
      <c r="A815" s="11" t="n">
        <f aca="false">802*$B$3</f>
        <v>401000</v>
      </c>
      <c r="B815" s="11" t="n">
        <f aca="false">0</f>
        <v>0</v>
      </c>
      <c r="C815" s="11" t="n">
        <f aca="false">A815-B815</f>
        <v>401000</v>
      </c>
      <c r="D815" s="11" t="n">
        <f aca="false">IF(Calculator!$B$6="Yes",MIN(B815,'Tax Tables'!$B$31*'Tax Tables'!$B$32),0)</f>
        <v>0</v>
      </c>
      <c r="E815" s="11" t="n">
        <f aca="false">D815*Calculator!$B$7</f>
        <v>0</v>
      </c>
      <c r="F815" s="11" t="n">
        <f aca="false">D815*Calculator!$B$8</f>
        <v>0</v>
      </c>
      <c r="G815" s="11" t="n">
        <f aca="false">IF(B815&gt;0,'Tax Tables'!$B$32*MIN(MAX(B815/'Tax Tables'!$B$32*'Tax Tables'!$B$33,'Tax Tables'!$B$34),'Tax Tables'!$B$35),0)</f>
        <v>0</v>
      </c>
      <c r="H815" s="11" t="n">
        <f aca="false">Calculator!$B$5-A815-F815-G815</f>
        <v>-1000</v>
      </c>
      <c r="I815" s="11" t="n">
        <f aca="false">'Tax Tables'!$B$22*(MAX(H815,0)-IF(Calculator!$B$10="Yes",MIN(MAX(H815,0),'Tax Tables'!$B$27)*'Tax Tables'!$B$28+MIN(MAX(MAX(H815,0)-'Tax Tables'!$B$27,0),'Tax Tables'!$B$29)*'Tax Tables'!$B$30,MIN(MAX(H815,0),'Tax Tables'!$B$23)*'Tax Tables'!$B$24+MIN(MAX(MAX(H815,0)-'Tax Tables'!$B$23,0),'Tax Tables'!$B$25)*'Tax Tables'!$B$26))*1-MIN('Tax Tables'!$B$22*(MAX(H815,0)-IF(Calculator!$B$10="Yes",MIN(MAX(H815,0),'Tax Tables'!$B$27)*'Tax Tables'!$B$28+MIN(MAX(MAX(H815,0)-'Tax Tables'!$B$27,0),'Tax Tables'!$B$29)*'Tax Tables'!$B$30,MIN(MAX(H815,0),'Tax Tables'!$B$23)*'Tax Tables'!$B$24+MIN(MAX(MAX(H815,0)-'Tax Tables'!$B$23,0),'Tax Tables'!$B$25)*'Tax Tables'!$B$26))*Calculator!$B$11,Calculator!$B$12)</f>
        <v>0</v>
      </c>
      <c r="J815" s="11" t="n">
        <f aca="false">MAX(H815,0)-I815</f>
        <v>0</v>
      </c>
      <c r="K815" s="11" t="n">
        <f aca="false">MIN(IF(A815&gt;0,Calculator!$B$13,0)+E815+Calculator!$B$14,'Tax Tables'!$B$36)</f>
        <v>1000</v>
      </c>
      <c r="L815" s="11" t="n">
        <f aca="false">MAX(A815-K815,0)</f>
        <v>400000</v>
      </c>
      <c r="M815" s="11" t="n">
        <f aca="false">SUMPRODUCT((L815&gt;'Tax Tables'!$A$5:$A$17)*(L815-'Tax Tables'!$A$5:$A$17)*'Tax Tables'!$C$5:$C$17)</f>
        <v>62150</v>
      </c>
      <c r="N815" s="11" t="n">
        <f aca="false">IF(H815&lt;0,-1E+099,A815-E815-M815+J815+(E815+F815)*Calculator!$B$9)</f>
        <v>-1E+099</v>
      </c>
      <c r="O815" s="2"/>
      <c r="P815" s="11" t="n">
        <f aca="false">802*$B$3</f>
        <v>401000</v>
      </c>
      <c r="Q815" s="11" t="n">
        <f aca="false">MIN(P815,'Tax Tables'!$B$31*'Tax Tables'!$B$32)</f>
        <v>96000</v>
      </c>
      <c r="R815" s="11" t="n">
        <f aca="false">P815-Q815</f>
        <v>305000</v>
      </c>
      <c r="S815" s="11" t="n">
        <f aca="false">IF(Calculator!$B$6="Yes",MIN(Q815,'Tax Tables'!$B$31*'Tax Tables'!$B$32),0)</f>
        <v>96000</v>
      </c>
      <c r="T815" s="11" t="n">
        <f aca="false">S815*Calculator!$B$7</f>
        <v>19200</v>
      </c>
      <c r="U815" s="11" t="n">
        <f aca="false">S815*Calculator!$B$8</f>
        <v>16320</v>
      </c>
      <c r="V815" s="11" t="n">
        <f aca="false">IF(Q815&gt;0,'Tax Tables'!$B$32*MIN(MAX(Q815/'Tax Tables'!$B$32*'Tax Tables'!$B$33,'Tax Tables'!$B$34),'Tax Tables'!$B$35),0)</f>
        <v>135</v>
      </c>
      <c r="W815" s="11" t="n">
        <f aca="false">Calculator!$B$5-P815-U815-V815</f>
        <v>-17455</v>
      </c>
      <c r="X815" s="11" t="n">
        <f aca="false">'Tax Tables'!$B$22*(MAX(W815,0)-IF(Calculator!$B$10="Yes",MIN(MAX(W815,0),'Tax Tables'!$B$27)*'Tax Tables'!$B$28+MIN(MAX(MAX(W815,0)-'Tax Tables'!$B$27,0),'Tax Tables'!$B$29)*'Tax Tables'!$B$30,MIN(MAX(W815,0),'Tax Tables'!$B$23)*'Tax Tables'!$B$24+MIN(MAX(MAX(W815,0)-'Tax Tables'!$B$23,0),'Tax Tables'!$B$25)*'Tax Tables'!$B$26))*1-MIN('Tax Tables'!$B$22*(MAX(W815,0)-IF(Calculator!$B$10="Yes",MIN(MAX(W815,0),'Tax Tables'!$B$27)*'Tax Tables'!$B$28+MIN(MAX(MAX(W815,0)-'Tax Tables'!$B$27,0),'Tax Tables'!$B$29)*'Tax Tables'!$B$30,MIN(MAX(W815,0),'Tax Tables'!$B$23)*'Tax Tables'!$B$24+MIN(MAX(MAX(W815,0)-'Tax Tables'!$B$23,0),'Tax Tables'!$B$25)*'Tax Tables'!$B$26))*Calculator!$B$11,Calculator!$B$12)</f>
        <v>0</v>
      </c>
      <c r="Y815" s="11" t="n">
        <f aca="false">MAX(W815,0)-X815</f>
        <v>0</v>
      </c>
      <c r="Z815" s="11" t="n">
        <f aca="false">MIN(IF(P815&gt;0,Calculator!$B$13,0)+T815+Calculator!$B$14,'Tax Tables'!$B$36)</f>
        <v>20200</v>
      </c>
      <c r="AA815" s="11" t="n">
        <f aca="false">MAX(P815-Z815,0)</f>
        <v>380800</v>
      </c>
      <c r="AB815" s="11" t="n">
        <f aca="false">SUMPRODUCT((AA815&gt;'Tax Tables'!$A$5:$A$17)*(AA815-'Tax Tables'!$A$5:$A$17)*'Tax Tables'!$C$5:$C$17)</f>
        <v>57926</v>
      </c>
      <c r="AC815" s="11" t="n">
        <f aca="false">IF(W815&lt;0,-1E+099,P815-T815-AB815+Y815+(T815+U815)*Calculator!$B$9)</f>
        <v>-1E+099</v>
      </c>
    </row>
    <row r="816" customFormat="false" ht="15" hidden="false" customHeight="false" outlineLevel="0" collapsed="false">
      <c r="A816" s="11" t="n">
        <f aca="false">803*$B$3</f>
        <v>401500</v>
      </c>
      <c r="B816" s="11" t="n">
        <f aca="false">0</f>
        <v>0</v>
      </c>
      <c r="C816" s="11" t="n">
        <f aca="false">A816-B816</f>
        <v>401500</v>
      </c>
      <c r="D816" s="11" t="n">
        <f aca="false">IF(Calculator!$B$6="Yes",MIN(B816,'Tax Tables'!$B$31*'Tax Tables'!$B$32),0)</f>
        <v>0</v>
      </c>
      <c r="E816" s="11" t="n">
        <f aca="false">D816*Calculator!$B$7</f>
        <v>0</v>
      </c>
      <c r="F816" s="11" t="n">
        <f aca="false">D816*Calculator!$B$8</f>
        <v>0</v>
      </c>
      <c r="G816" s="11" t="n">
        <f aca="false">IF(B816&gt;0,'Tax Tables'!$B$32*MIN(MAX(B816/'Tax Tables'!$B$32*'Tax Tables'!$B$33,'Tax Tables'!$B$34),'Tax Tables'!$B$35),0)</f>
        <v>0</v>
      </c>
      <c r="H816" s="11" t="n">
        <f aca="false">Calculator!$B$5-A816-F816-G816</f>
        <v>-1500</v>
      </c>
      <c r="I816" s="11" t="n">
        <f aca="false">'Tax Tables'!$B$22*(MAX(H816,0)-IF(Calculator!$B$10="Yes",MIN(MAX(H816,0),'Tax Tables'!$B$27)*'Tax Tables'!$B$28+MIN(MAX(MAX(H816,0)-'Tax Tables'!$B$27,0),'Tax Tables'!$B$29)*'Tax Tables'!$B$30,MIN(MAX(H816,0),'Tax Tables'!$B$23)*'Tax Tables'!$B$24+MIN(MAX(MAX(H816,0)-'Tax Tables'!$B$23,0),'Tax Tables'!$B$25)*'Tax Tables'!$B$26))*1-MIN('Tax Tables'!$B$22*(MAX(H816,0)-IF(Calculator!$B$10="Yes",MIN(MAX(H816,0),'Tax Tables'!$B$27)*'Tax Tables'!$B$28+MIN(MAX(MAX(H816,0)-'Tax Tables'!$B$27,0),'Tax Tables'!$B$29)*'Tax Tables'!$B$30,MIN(MAX(H816,0),'Tax Tables'!$B$23)*'Tax Tables'!$B$24+MIN(MAX(MAX(H816,0)-'Tax Tables'!$B$23,0),'Tax Tables'!$B$25)*'Tax Tables'!$B$26))*Calculator!$B$11,Calculator!$B$12)</f>
        <v>0</v>
      </c>
      <c r="J816" s="11" t="n">
        <f aca="false">MAX(H816,0)-I816</f>
        <v>0</v>
      </c>
      <c r="K816" s="11" t="n">
        <f aca="false">MIN(IF(A816&gt;0,Calculator!$B$13,0)+E816+Calculator!$B$14,'Tax Tables'!$B$36)</f>
        <v>1000</v>
      </c>
      <c r="L816" s="11" t="n">
        <f aca="false">MAX(A816-K816,0)</f>
        <v>400500</v>
      </c>
      <c r="M816" s="11" t="n">
        <f aca="false">SUMPRODUCT((L816&gt;'Tax Tables'!$A$5:$A$17)*(L816-'Tax Tables'!$A$5:$A$17)*'Tax Tables'!$C$5:$C$17)</f>
        <v>62260</v>
      </c>
      <c r="N816" s="11" t="n">
        <f aca="false">IF(H816&lt;0,-1E+099,A816-E816-M816+J816+(E816+F816)*Calculator!$B$9)</f>
        <v>-1E+099</v>
      </c>
      <c r="O816" s="2"/>
      <c r="P816" s="11" t="n">
        <f aca="false">803*$B$3</f>
        <v>401500</v>
      </c>
      <c r="Q816" s="11" t="n">
        <f aca="false">MIN(P816,'Tax Tables'!$B$31*'Tax Tables'!$B$32)</f>
        <v>96000</v>
      </c>
      <c r="R816" s="11" t="n">
        <f aca="false">P816-Q816</f>
        <v>305500</v>
      </c>
      <c r="S816" s="11" t="n">
        <f aca="false">IF(Calculator!$B$6="Yes",MIN(Q816,'Tax Tables'!$B$31*'Tax Tables'!$B$32),0)</f>
        <v>96000</v>
      </c>
      <c r="T816" s="11" t="n">
        <f aca="false">S816*Calculator!$B$7</f>
        <v>19200</v>
      </c>
      <c r="U816" s="11" t="n">
        <f aca="false">S816*Calculator!$B$8</f>
        <v>16320</v>
      </c>
      <c r="V816" s="11" t="n">
        <f aca="false">IF(Q816&gt;0,'Tax Tables'!$B$32*MIN(MAX(Q816/'Tax Tables'!$B$32*'Tax Tables'!$B$33,'Tax Tables'!$B$34),'Tax Tables'!$B$35),0)</f>
        <v>135</v>
      </c>
      <c r="W816" s="11" t="n">
        <f aca="false">Calculator!$B$5-P816-U816-V816</f>
        <v>-17955</v>
      </c>
      <c r="X816" s="11" t="n">
        <f aca="false">'Tax Tables'!$B$22*(MAX(W816,0)-IF(Calculator!$B$10="Yes",MIN(MAX(W816,0),'Tax Tables'!$B$27)*'Tax Tables'!$B$28+MIN(MAX(MAX(W816,0)-'Tax Tables'!$B$27,0),'Tax Tables'!$B$29)*'Tax Tables'!$B$30,MIN(MAX(W816,0),'Tax Tables'!$B$23)*'Tax Tables'!$B$24+MIN(MAX(MAX(W816,0)-'Tax Tables'!$B$23,0),'Tax Tables'!$B$25)*'Tax Tables'!$B$26))*1-MIN('Tax Tables'!$B$22*(MAX(W816,0)-IF(Calculator!$B$10="Yes",MIN(MAX(W816,0),'Tax Tables'!$B$27)*'Tax Tables'!$B$28+MIN(MAX(MAX(W816,0)-'Tax Tables'!$B$27,0),'Tax Tables'!$B$29)*'Tax Tables'!$B$30,MIN(MAX(W816,0),'Tax Tables'!$B$23)*'Tax Tables'!$B$24+MIN(MAX(MAX(W816,0)-'Tax Tables'!$B$23,0),'Tax Tables'!$B$25)*'Tax Tables'!$B$26))*Calculator!$B$11,Calculator!$B$12)</f>
        <v>0</v>
      </c>
      <c r="Y816" s="11" t="n">
        <f aca="false">MAX(W816,0)-X816</f>
        <v>0</v>
      </c>
      <c r="Z816" s="11" t="n">
        <f aca="false">MIN(IF(P816&gt;0,Calculator!$B$13,0)+T816+Calculator!$B$14,'Tax Tables'!$B$36)</f>
        <v>20200</v>
      </c>
      <c r="AA816" s="11" t="n">
        <f aca="false">MAX(P816-Z816,0)</f>
        <v>381300</v>
      </c>
      <c r="AB816" s="11" t="n">
        <f aca="false">SUMPRODUCT((AA816&gt;'Tax Tables'!$A$5:$A$17)*(AA816-'Tax Tables'!$A$5:$A$17)*'Tax Tables'!$C$5:$C$17)</f>
        <v>58036</v>
      </c>
      <c r="AC816" s="11" t="n">
        <f aca="false">IF(W816&lt;0,-1E+099,P816-T816-AB816+Y816+(T816+U816)*Calculator!$B$9)</f>
        <v>-1E+099</v>
      </c>
    </row>
    <row r="817" customFormat="false" ht="15" hidden="false" customHeight="false" outlineLevel="0" collapsed="false">
      <c r="A817" s="11" t="n">
        <f aca="false">804*$B$3</f>
        <v>402000</v>
      </c>
      <c r="B817" s="11" t="n">
        <f aca="false">0</f>
        <v>0</v>
      </c>
      <c r="C817" s="11" t="n">
        <f aca="false">A817-B817</f>
        <v>402000</v>
      </c>
      <c r="D817" s="11" t="n">
        <f aca="false">IF(Calculator!$B$6="Yes",MIN(B817,'Tax Tables'!$B$31*'Tax Tables'!$B$32),0)</f>
        <v>0</v>
      </c>
      <c r="E817" s="11" t="n">
        <f aca="false">D817*Calculator!$B$7</f>
        <v>0</v>
      </c>
      <c r="F817" s="11" t="n">
        <f aca="false">D817*Calculator!$B$8</f>
        <v>0</v>
      </c>
      <c r="G817" s="11" t="n">
        <f aca="false">IF(B817&gt;0,'Tax Tables'!$B$32*MIN(MAX(B817/'Tax Tables'!$B$32*'Tax Tables'!$B$33,'Tax Tables'!$B$34),'Tax Tables'!$B$35),0)</f>
        <v>0</v>
      </c>
      <c r="H817" s="11" t="n">
        <f aca="false">Calculator!$B$5-A817-F817-G817</f>
        <v>-2000</v>
      </c>
      <c r="I817" s="11" t="n">
        <f aca="false">'Tax Tables'!$B$22*(MAX(H817,0)-IF(Calculator!$B$10="Yes",MIN(MAX(H817,0),'Tax Tables'!$B$27)*'Tax Tables'!$B$28+MIN(MAX(MAX(H817,0)-'Tax Tables'!$B$27,0),'Tax Tables'!$B$29)*'Tax Tables'!$B$30,MIN(MAX(H817,0),'Tax Tables'!$B$23)*'Tax Tables'!$B$24+MIN(MAX(MAX(H817,0)-'Tax Tables'!$B$23,0),'Tax Tables'!$B$25)*'Tax Tables'!$B$26))*1-MIN('Tax Tables'!$B$22*(MAX(H817,0)-IF(Calculator!$B$10="Yes",MIN(MAX(H817,0),'Tax Tables'!$B$27)*'Tax Tables'!$B$28+MIN(MAX(MAX(H817,0)-'Tax Tables'!$B$27,0),'Tax Tables'!$B$29)*'Tax Tables'!$B$30,MIN(MAX(H817,0),'Tax Tables'!$B$23)*'Tax Tables'!$B$24+MIN(MAX(MAX(H817,0)-'Tax Tables'!$B$23,0),'Tax Tables'!$B$25)*'Tax Tables'!$B$26))*Calculator!$B$11,Calculator!$B$12)</f>
        <v>0</v>
      </c>
      <c r="J817" s="11" t="n">
        <f aca="false">MAX(H817,0)-I817</f>
        <v>0</v>
      </c>
      <c r="K817" s="11" t="n">
        <f aca="false">MIN(IF(A817&gt;0,Calculator!$B$13,0)+E817+Calculator!$B$14,'Tax Tables'!$B$36)</f>
        <v>1000</v>
      </c>
      <c r="L817" s="11" t="n">
        <f aca="false">MAX(A817-K817,0)</f>
        <v>401000</v>
      </c>
      <c r="M817" s="11" t="n">
        <f aca="false">SUMPRODUCT((L817&gt;'Tax Tables'!$A$5:$A$17)*(L817-'Tax Tables'!$A$5:$A$17)*'Tax Tables'!$C$5:$C$17)</f>
        <v>62370</v>
      </c>
      <c r="N817" s="11" t="n">
        <f aca="false">IF(H817&lt;0,-1E+099,A817-E817-M817+J817+(E817+F817)*Calculator!$B$9)</f>
        <v>-1E+099</v>
      </c>
      <c r="O817" s="2"/>
      <c r="P817" s="11" t="n">
        <f aca="false">804*$B$3</f>
        <v>402000</v>
      </c>
      <c r="Q817" s="11" t="n">
        <f aca="false">MIN(P817,'Tax Tables'!$B$31*'Tax Tables'!$B$32)</f>
        <v>96000</v>
      </c>
      <c r="R817" s="11" t="n">
        <f aca="false">P817-Q817</f>
        <v>306000</v>
      </c>
      <c r="S817" s="11" t="n">
        <f aca="false">IF(Calculator!$B$6="Yes",MIN(Q817,'Tax Tables'!$B$31*'Tax Tables'!$B$32),0)</f>
        <v>96000</v>
      </c>
      <c r="T817" s="11" t="n">
        <f aca="false">S817*Calculator!$B$7</f>
        <v>19200</v>
      </c>
      <c r="U817" s="11" t="n">
        <f aca="false">S817*Calculator!$B$8</f>
        <v>16320</v>
      </c>
      <c r="V817" s="11" t="n">
        <f aca="false">IF(Q817&gt;0,'Tax Tables'!$B$32*MIN(MAX(Q817/'Tax Tables'!$B$32*'Tax Tables'!$B$33,'Tax Tables'!$B$34),'Tax Tables'!$B$35),0)</f>
        <v>135</v>
      </c>
      <c r="W817" s="11" t="n">
        <f aca="false">Calculator!$B$5-P817-U817-V817</f>
        <v>-18455</v>
      </c>
      <c r="X817" s="11" t="n">
        <f aca="false">'Tax Tables'!$B$22*(MAX(W817,0)-IF(Calculator!$B$10="Yes",MIN(MAX(W817,0),'Tax Tables'!$B$27)*'Tax Tables'!$B$28+MIN(MAX(MAX(W817,0)-'Tax Tables'!$B$27,0),'Tax Tables'!$B$29)*'Tax Tables'!$B$30,MIN(MAX(W817,0),'Tax Tables'!$B$23)*'Tax Tables'!$B$24+MIN(MAX(MAX(W817,0)-'Tax Tables'!$B$23,0),'Tax Tables'!$B$25)*'Tax Tables'!$B$26))*1-MIN('Tax Tables'!$B$22*(MAX(W817,0)-IF(Calculator!$B$10="Yes",MIN(MAX(W817,0),'Tax Tables'!$B$27)*'Tax Tables'!$B$28+MIN(MAX(MAX(W817,0)-'Tax Tables'!$B$27,0),'Tax Tables'!$B$29)*'Tax Tables'!$B$30,MIN(MAX(W817,0),'Tax Tables'!$B$23)*'Tax Tables'!$B$24+MIN(MAX(MAX(W817,0)-'Tax Tables'!$B$23,0),'Tax Tables'!$B$25)*'Tax Tables'!$B$26))*Calculator!$B$11,Calculator!$B$12)</f>
        <v>0</v>
      </c>
      <c r="Y817" s="11" t="n">
        <f aca="false">MAX(W817,0)-X817</f>
        <v>0</v>
      </c>
      <c r="Z817" s="11" t="n">
        <f aca="false">MIN(IF(P817&gt;0,Calculator!$B$13,0)+T817+Calculator!$B$14,'Tax Tables'!$B$36)</f>
        <v>20200</v>
      </c>
      <c r="AA817" s="11" t="n">
        <f aca="false">MAX(P817-Z817,0)</f>
        <v>381800</v>
      </c>
      <c r="AB817" s="11" t="n">
        <f aca="false">SUMPRODUCT((AA817&gt;'Tax Tables'!$A$5:$A$17)*(AA817-'Tax Tables'!$A$5:$A$17)*'Tax Tables'!$C$5:$C$17)</f>
        <v>58146</v>
      </c>
      <c r="AC817" s="11" t="n">
        <f aca="false">IF(W817&lt;0,-1E+099,P817-T817-AB817+Y817+(T817+U817)*Calculator!$B$9)</f>
        <v>-1E+099</v>
      </c>
    </row>
    <row r="818" customFormat="false" ht="15" hidden="false" customHeight="false" outlineLevel="0" collapsed="false">
      <c r="A818" s="11" t="n">
        <f aca="false">805*$B$3</f>
        <v>402500</v>
      </c>
      <c r="B818" s="11" t="n">
        <f aca="false">0</f>
        <v>0</v>
      </c>
      <c r="C818" s="11" t="n">
        <f aca="false">A818-B818</f>
        <v>402500</v>
      </c>
      <c r="D818" s="11" t="n">
        <f aca="false">IF(Calculator!$B$6="Yes",MIN(B818,'Tax Tables'!$B$31*'Tax Tables'!$B$32),0)</f>
        <v>0</v>
      </c>
      <c r="E818" s="11" t="n">
        <f aca="false">D818*Calculator!$B$7</f>
        <v>0</v>
      </c>
      <c r="F818" s="11" t="n">
        <f aca="false">D818*Calculator!$B$8</f>
        <v>0</v>
      </c>
      <c r="G818" s="11" t="n">
        <f aca="false">IF(B818&gt;0,'Tax Tables'!$B$32*MIN(MAX(B818/'Tax Tables'!$B$32*'Tax Tables'!$B$33,'Tax Tables'!$B$34),'Tax Tables'!$B$35),0)</f>
        <v>0</v>
      </c>
      <c r="H818" s="11" t="n">
        <f aca="false">Calculator!$B$5-A818-F818-G818</f>
        <v>-2500</v>
      </c>
      <c r="I818" s="11" t="n">
        <f aca="false">'Tax Tables'!$B$22*(MAX(H818,0)-IF(Calculator!$B$10="Yes",MIN(MAX(H818,0),'Tax Tables'!$B$27)*'Tax Tables'!$B$28+MIN(MAX(MAX(H818,0)-'Tax Tables'!$B$27,0),'Tax Tables'!$B$29)*'Tax Tables'!$B$30,MIN(MAX(H818,0),'Tax Tables'!$B$23)*'Tax Tables'!$B$24+MIN(MAX(MAX(H818,0)-'Tax Tables'!$B$23,0),'Tax Tables'!$B$25)*'Tax Tables'!$B$26))*1-MIN('Tax Tables'!$B$22*(MAX(H818,0)-IF(Calculator!$B$10="Yes",MIN(MAX(H818,0),'Tax Tables'!$B$27)*'Tax Tables'!$B$28+MIN(MAX(MAX(H818,0)-'Tax Tables'!$B$27,0),'Tax Tables'!$B$29)*'Tax Tables'!$B$30,MIN(MAX(H818,0),'Tax Tables'!$B$23)*'Tax Tables'!$B$24+MIN(MAX(MAX(H818,0)-'Tax Tables'!$B$23,0),'Tax Tables'!$B$25)*'Tax Tables'!$B$26))*Calculator!$B$11,Calculator!$B$12)</f>
        <v>0</v>
      </c>
      <c r="J818" s="11" t="n">
        <f aca="false">MAX(H818,0)-I818</f>
        <v>0</v>
      </c>
      <c r="K818" s="11" t="n">
        <f aca="false">MIN(IF(A818&gt;0,Calculator!$B$13,0)+E818+Calculator!$B$14,'Tax Tables'!$B$36)</f>
        <v>1000</v>
      </c>
      <c r="L818" s="11" t="n">
        <f aca="false">MAX(A818-K818,0)</f>
        <v>401500</v>
      </c>
      <c r="M818" s="11" t="n">
        <f aca="false">SUMPRODUCT((L818&gt;'Tax Tables'!$A$5:$A$17)*(L818-'Tax Tables'!$A$5:$A$17)*'Tax Tables'!$C$5:$C$17)</f>
        <v>62480</v>
      </c>
      <c r="N818" s="11" t="n">
        <f aca="false">IF(H818&lt;0,-1E+099,A818-E818-M818+J818+(E818+F818)*Calculator!$B$9)</f>
        <v>-1E+099</v>
      </c>
      <c r="O818" s="2"/>
      <c r="P818" s="11" t="n">
        <f aca="false">805*$B$3</f>
        <v>402500</v>
      </c>
      <c r="Q818" s="11" t="n">
        <f aca="false">MIN(P818,'Tax Tables'!$B$31*'Tax Tables'!$B$32)</f>
        <v>96000</v>
      </c>
      <c r="R818" s="11" t="n">
        <f aca="false">P818-Q818</f>
        <v>306500</v>
      </c>
      <c r="S818" s="11" t="n">
        <f aca="false">IF(Calculator!$B$6="Yes",MIN(Q818,'Tax Tables'!$B$31*'Tax Tables'!$B$32),0)</f>
        <v>96000</v>
      </c>
      <c r="T818" s="11" t="n">
        <f aca="false">S818*Calculator!$B$7</f>
        <v>19200</v>
      </c>
      <c r="U818" s="11" t="n">
        <f aca="false">S818*Calculator!$B$8</f>
        <v>16320</v>
      </c>
      <c r="V818" s="11" t="n">
        <f aca="false">IF(Q818&gt;0,'Tax Tables'!$B$32*MIN(MAX(Q818/'Tax Tables'!$B$32*'Tax Tables'!$B$33,'Tax Tables'!$B$34),'Tax Tables'!$B$35),0)</f>
        <v>135</v>
      </c>
      <c r="W818" s="11" t="n">
        <f aca="false">Calculator!$B$5-P818-U818-V818</f>
        <v>-18955</v>
      </c>
      <c r="X818" s="11" t="n">
        <f aca="false">'Tax Tables'!$B$22*(MAX(W818,0)-IF(Calculator!$B$10="Yes",MIN(MAX(W818,0),'Tax Tables'!$B$27)*'Tax Tables'!$B$28+MIN(MAX(MAX(W818,0)-'Tax Tables'!$B$27,0),'Tax Tables'!$B$29)*'Tax Tables'!$B$30,MIN(MAX(W818,0),'Tax Tables'!$B$23)*'Tax Tables'!$B$24+MIN(MAX(MAX(W818,0)-'Tax Tables'!$B$23,0),'Tax Tables'!$B$25)*'Tax Tables'!$B$26))*1-MIN('Tax Tables'!$B$22*(MAX(W818,0)-IF(Calculator!$B$10="Yes",MIN(MAX(W818,0),'Tax Tables'!$B$27)*'Tax Tables'!$B$28+MIN(MAX(MAX(W818,0)-'Tax Tables'!$B$27,0),'Tax Tables'!$B$29)*'Tax Tables'!$B$30,MIN(MAX(W818,0),'Tax Tables'!$B$23)*'Tax Tables'!$B$24+MIN(MAX(MAX(W818,0)-'Tax Tables'!$B$23,0),'Tax Tables'!$B$25)*'Tax Tables'!$B$26))*Calculator!$B$11,Calculator!$B$12)</f>
        <v>0</v>
      </c>
      <c r="Y818" s="11" t="n">
        <f aca="false">MAX(W818,0)-X818</f>
        <v>0</v>
      </c>
      <c r="Z818" s="11" t="n">
        <f aca="false">MIN(IF(P818&gt;0,Calculator!$B$13,0)+T818+Calculator!$B$14,'Tax Tables'!$B$36)</f>
        <v>20200</v>
      </c>
      <c r="AA818" s="11" t="n">
        <f aca="false">MAX(P818-Z818,0)</f>
        <v>382300</v>
      </c>
      <c r="AB818" s="11" t="n">
        <f aca="false">SUMPRODUCT((AA818&gt;'Tax Tables'!$A$5:$A$17)*(AA818-'Tax Tables'!$A$5:$A$17)*'Tax Tables'!$C$5:$C$17)</f>
        <v>58256</v>
      </c>
      <c r="AC818" s="11" t="n">
        <f aca="false">IF(W818&lt;0,-1E+099,P818-T818-AB818+Y818+(T818+U818)*Calculator!$B$9)</f>
        <v>-1E+099</v>
      </c>
    </row>
    <row r="819" customFormat="false" ht="15" hidden="false" customHeight="false" outlineLevel="0" collapsed="false">
      <c r="A819" s="11" t="n">
        <f aca="false">806*$B$3</f>
        <v>403000</v>
      </c>
      <c r="B819" s="11" t="n">
        <f aca="false">0</f>
        <v>0</v>
      </c>
      <c r="C819" s="11" t="n">
        <f aca="false">A819-B819</f>
        <v>403000</v>
      </c>
      <c r="D819" s="11" t="n">
        <f aca="false">IF(Calculator!$B$6="Yes",MIN(B819,'Tax Tables'!$B$31*'Tax Tables'!$B$32),0)</f>
        <v>0</v>
      </c>
      <c r="E819" s="11" t="n">
        <f aca="false">D819*Calculator!$B$7</f>
        <v>0</v>
      </c>
      <c r="F819" s="11" t="n">
        <f aca="false">D819*Calculator!$B$8</f>
        <v>0</v>
      </c>
      <c r="G819" s="11" t="n">
        <f aca="false">IF(B819&gt;0,'Tax Tables'!$B$32*MIN(MAX(B819/'Tax Tables'!$B$32*'Tax Tables'!$B$33,'Tax Tables'!$B$34),'Tax Tables'!$B$35),0)</f>
        <v>0</v>
      </c>
      <c r="H819" s="11" t="n">
        <f aca="false">Calculator!$B$5-A819-F819-G819</f>
        <v>-3000</v>
      </c>
      <c r="I819" s="11" t="n">
        <f aca="false">'Tax Tables'!$B$22*(MAX(H819,0)-IF(Calculator!$B$10="Yes",MIN(MAX(H819,0),'Tax Tables'!$B$27)*'Tax Tables'!$B$28+MIN(MAX(MAX(H819,0)-'Tax Tables'!$B$27,0),'Tax Tables'!$B$29)*'Tax Tables'!$B$30,MIN(MAX(H819,0),'Tax Tables'!$B$23)*'Tax Tables'!$B$24+MIN(MAX(MAX(H819,0)-'Tax Tables'!$B$23,0),'Tax Tables'!$B$25)*'Tax Tables'!$B$26))*1-MIN('Tax Tables'!$B$22*(MAX(H819,0)-IF(Calculator!$B$10="Yes",MIN(MAX(H819,0),'Tax Tables'!$B$27)*'Tax Tables'!$B$28+MIN(MAX(MAX(H819,0)-'Tax Tables'!$B$27,0),'Tax Tables'!$B$29)*'Tax Tables'!$B$30,MIN(MAX(H819,0),'Tax Tables'!$B$23)*'Tax Tables'!$B$24+MIN(MAX(MAX(H819,0)-'Tax Tables'!$B$23,0),'Tax Tables'!$B$25)*'Tax Tables'!$B$26))*Calculator!$B$11,Calculator!$B$12)</f>
        <v>0</v>
      </c>
      <c r="J819" s="11" t="n">
        <f aca="false">MAX(H819,0)-I819</f>
        <v>0</v>
      </c>
      <c r="K819" s="11" t="n">
        <f aca="false">MIN(IF(A819&gt;0,Calculator!$B$13,0)+E819+Calculator!$B$14,'Tax Tables'!$B$36)</f>
        <v>1000</v>
      </c>
      <c r="L819" s="11" t="n">
        <f aca="false">MAX(A819-K819,0)</f>
        <v>402000</v>
      </c>
      <c r="M819" s="11" t="n">
        <f aca="false">SUMPRODUCT((L819&gt;'Tax Tables'!$A$5:$A$17)*(L819-'Tax Tables'!$A$5:$A$17)*'Tax Tables'!$C$5:$C$17)</f>
        <v>62590</v>
      </c>
      <c r="N819" s="11" t="n">
        <f aca="false">IF(H819&lt;0,-1E+099,A819-E819-M819+J819+(E819+F819)*Calculator!$B$9)</f>
        <v>-1E+099</v>
      </c>
      <c r="O819" s="2"/>
      <c r="P819" s="11" t="n">
        <f aca="false">806*$B$3</f>
        <v>403000</v>
      </c>
      <c r="Q819" s="11" t="n">
        <f aca="false">MIN(P819,'Tax Tables'!$B$31*'Tax Tables'!$B$32)</f>
        <v>96000</v>
      </c>
      <c r="R819" s="11" t="n">
        <f aca="false">P819-Q819</f>
        <v>307000</v>
      </c>
      <c r="S819" s="11" t="n">
        <f aca="false">IF(Calculator!$B$6="Yes",MIN(Q819,'Tax Tables'!$B$31*'Tax Tables'!$B$32),0)</f>
        <v>96000</v>
      </c>
      <c r="T819" s="11" t="n">
        <f aca="false">S819*Calculator!$B$7</f>
        <v>19200</v>
      </c>
      <c r="U819" s="11" t="n">
        <f aca="false">S819*Calculator!$B$8</f>
        <v>16320</v>
      </c>
      <c r="V819" s="11" t="n">
        <f aca="false">IF(Q819&gt;0,'Tax Tables'!$B$32*MIN(MAX(Q819/'Tax Tables'!$B$32*'Tax Tables'!$B$33,'Tax Tables'!$B$34),'Tax Tables'!$B$35),0)</f>
        <v>135</v>
      </c>
      <c r="W819" s="11" t="n">
        <f aca="false">Calculator!$B$5-P819-U819-V819</f>
        <v>-19455</v>
      </c>
      <c r="X819" s="11" t="n">
        <f aca="false">'Tax Tables'!$B$22*(MAX(W819,0)-IF(Calculator!$B$10="Yes",MIN(MAX(W819,0),'Tax Tables'!$B$27)*'Tax Tables'!$B$28+MIN(MAX(MAX(W819,0)-'Tax Tables'!$B$27,0),'Tax Tables'!$B$29)*'Tax Tables'!$B$30,MIN(MAX(W819,0),'Tax Tables'!$B$23)*'Tax Tables'!$B$24+MIN(MAX(MAX(W819,0)-'Tax Tables'!$B$23,0),'Tax Tables'!$B$25)*'Tax Tables'!$B$26))*1-MIN('Tax Tables'!$B$22*(MAX(W819,0)-IF(Calculator!$B$10="Yes",MIN(MAX(W819,0),'Tax Tables'!$B$27)*'Tax Tables'!$B$28+MIN(MAX(MAX(W819,0)-'Tax Tables'!$B$27,0),'Tax Tables'!$B$29)*'Tax Tables'!$B$30,MIN(MAX(W819,0),'Tax Tables'!$B$23)*'Tax Tables'!$B$24+MIN(MAX(MAX(W819,0)-'Tax Tables'!$B$23,0),'Tax Tables'!$B$25)*'Tax Tables'!$B$26))*Calculator!$B$11,Calculator!$B$12)</f>
        <v>0</v>
      </c>
      <c r="Y819" s="11" t="n">
        <f aca="false">MAX(W819,0)-X819</f>
        <v>0</v>
      </c>
      <c r="Z819" s="11" t="n">
        <f aca="false">MIN(IF(P819&gt;0,Calculator!$B$13,0)+T819+Calculator!$B$14,'Tax Tables'!$B$36)</f>
        <v>20200</v>
      </c>
      <c r="AA819" s="11" t="n">
        <f aca="false">MAX(P819-Z819,0)</f>
        <v>382800</v>
      </c>
      <c r="AB819" s="11" t="n">
        <f aca="false">SUMPRODUCT((AA819&gt;'Tax Tables'!$A$5:$A$17)*(AA819-'Tax Tables'!$A$5:$A$17)*'Tax Tables'!$C$5:$C$17)</f>
        <v>58366</v>
      </c>
      <c r="AC819" s="11" t="n">
        <f aca="false">IF(W819&lt;0,-1E+099,P819-T819-AB819+Y819+(T819+U819)*Calculator!$B$9)</f>
        <v>-1E+099</v>
      </c>
    </row>
    <row r="820" customFormat="false" ht="15" hidden="false" customHeight="false" outlineLevel="0" collapsed="false">
      <c r="A820" s="11" t="n">
        <f aca="false">807*$B$3</f>
        <v>403500</v>
      </c>
      <c r="B820" s="11" t="n">
        <f aca="false">0</f>
        <v>0</v>
      </c>
      <c r="C820" s="11" t="n">
        <f aca="false">A820-B820</f>
        <v>403500</v>
      </c>
      <c r="D820" s="11" t="n">
        <f aca="false">IF(Calculator!$B$6="Yes",MIN(B820,'Tax Tables'!$B$31*'Tax Tables'!$B$32),0)</f>
        <v>0</v>
      </c>
      <c r="E820" s="11" t="n">
        <f aca="false">D820*Calculator!$B$7</f>
        <v>0</v>
      </c>
      <c r="F820" s="11" t="n">
        <f aca="false">D820*Calculator!$B$8</f>
        <v>0</v>
      </c>
      <c r="G820" s="11" t="n">
        <f aca="false">IF(B820&gt;0,'Tax Tables'!$B$32*MIN(MAX(B820/'Tax Tables'!$B$32*'Tax Tables'!$B$33,'Tax Tables'!$B$34),'Tax Tables'!$B$35),0)</f>
        <v>0</v>
      </c>
      <c r="H820" s="11" t="n">
        <f aca="false">Calculator!$B$5-A820-F820-G820</f>
        <v>-3500</v>
      </c>
      <c r="I820" s="11" t="n">
        <f aca="false">'Tax Tables'!$B$22*(MAX(H820,0)-IF(Calculator!$B$10="Yes",MIN(MAX(H820,0),'Tax Tables'!$B$27)*'Tax Tables'!$B$28+MIN(MAX(MAX(H820,0)-'Tax Tables'!$B$27,0),'Tax Tables'!$B$29)*'Tax Tables'!$B$30,MIN(MAX(H820,0),'Tax Tables'!$B$23)*'Tax Tables'!$B$24+MIN(MAX(MAX(H820,0)-'Tax Tables'!$B$23,0),'Tax Tables'!$B$25)*'Tax Tables'!$B$26))*1-MIN('Tax Tables'!$B$22*(MAX(H820,0)-IF(Calculator!$B$10="Yes",MIN(MAX(H820,0),'Tax Tables'!$B$27)*'Tax Tables'!$B$28+MIN(MAX(MAX(H820,0)-'Tax Tables'!$B$27,0),'Tax Tables'!$B$29)*'Tax Tables'!$B$30,MIN(MAX(H820,0),'Tax Tables'!$B$23)*'Tax Tables'!$B$24+MIN(MAX(MAX(H820,0)-'Tax Tables'!$B$23,0),'Tax Tables'!$B$25)*'Tax Tables'!$B$26))*Calculator!$B$11,Calculator!$B$12)</f>
        <v>0</v>
      </c>
      <c r="J820" s="11" t="n">
        <f aca="false">MAX(H820,0)-I820</f>
        <v>0</v>
      </c>
      <c r="K820" s="11" t="n">
        <f aca="false">MIN(IF(A820&gt;0,Calculator!$B$13,0)+E820+Calculator!$B$14,'Tax Tables'!$B$36)</f>
        <v>1000</v>
      </c>
      <c r="L820" s="11" t="n">
        <f aca="false">MAX(A820-K820,0)</f>
        <v>402500</v>
      </c>
      <c r="M820" s="11" t="n">
        <f aca="false">SUMPRODUCT((L820&gt;'Tax Tables'!$A$5:$A$17)*(L820-'Tax Tables'!$A$5:$A$17)*'Tax Tables'!$C$5:$C$17)</f>
        <v>62700</v>
      </c>
      <c r="N820" s="11" t="n">
        <f aca="false">IF(H820&lt;0,-1E+099,A820-E820-M820+J820+(E820+F820)*Calculator!$B$9)</f>
        <v>-1E+099</v>
      </c>
      <c r="O820" s="2"/>
      <c r="P820" s="11" t="n">
        <f aca="false">807*$B$3</f>
        <v>403500</v>
      </c>
      <c r="Q820" s="11" t="n">
        <f aca="false">MIN(P820,'Tax Tables'!$B$31*'Tax Tables'!$B$32)</f>
        <v>96000</v>
      </c>
      <c r="R820" s="11" t="n">
        <f aca="false">P820-Q820</f>
        <v>307500</v>
      </c>
      <c r="S820" s="11" t="n">
        <f aca="false">IF(Calculator!$B$6="Yes",MIN(Q820,'Tax Tables'!$B$31*'Tax Tables'!$B$32),0)</f>
        <v>96000</v>
      </c>
      <c r="T820" s="11" t="n">
        <f aca="false">S820*Calculator!$B$7</f>
        <v>19200</v>
      </c>
      <c r="U820" s="11" t="n">
        <f aca="false">S820*Calculator!$B$8</f>
        <v>16320</v>
      </c>
      <c r="V820" s="11" t="n">
        <f aca="false">IF(Q820&gt;0,'Tax Tables'!$B$32*MIN(MAX(Q820/'Tax Tables'!$B$32*'Tax Tables'!$B$33,'Tax Tables'!$B$34),'Tax Tables'!$B$35),0)</f>
        <v>135</v>
      </c>
      <c r="W820" s="11" t="n">
        <f aca="false">Calculator!$B$5-P820-U820-V820</f>
        <v>-19955</v>
      </c>
      <c r="X820" s="11" t="n">
        <f aca="false">'Tax Tables'!$B$22*(MAX(W820,0)-IF(Calculator!$B$10="Yes",MIN(MAX(W820,0),'Tax Tables'!$B$27)*'Tax Tables'!$B$28+MIN(MAX(MAX(W820,0)-'Tax Tables'!$B$27,0),'Tax Tables'!$B$29)*'Tax Tables'!$B$30,MIN(MAX(W820,0),'Tax Tables'!$B$23)*'Tax Tables'!$B$24+MIN(MAX(MAX(W820,0)-'Tax Tables'!$B$23,0),'Tax Tables'!$B$25)*'Tax Tables'!$B$26))*1-MIN('Tax Tables'!$B$22*(MAX(W820,0)-IF(Calculator!$B$10="Yes",MIN(MAX(W820,0),'Tax Tables'!$B$27)*'Tax Tables'!$B$28+MIN(MAX(MAX(W820,0)-'Tax Tables'!$B$27,0),'Tax Tables'!$B$29)*'Tax Tables'!$B$30,MIN(MAX(W820,0),'Tax Tables'!$B$23)*'Tax Tables'!$B$24+MIN(MAX(MAX(W820,0)-'Tax Tables'!$B$23,0),'Tax Tables'!$B$25)*'Tax Tables'!$B$26))*Calculator!$B$11,Calculator!$B$12)</f>
        <v>0</v>
      </c>
      <c r="Y820" s="11" t="n">
        <f aca="false">MAX(W820,0)-X820</f>
        <v>0</v>
      </c>
      <c r="Z820" s="11" t="n">
        <f aca="false">MIN(IF(P820&gt;0,Calculator!$B$13,0)+T820+Calculator!$B$14,'Tax Tables'!$B$36)</f>
        <v>20200</v>
      </c>
      <c r="AA820" s="11" t="n">
        <f aca="false">MAX(P820-Z820,0)</f>
        <v>383300</v>
      </c>
      <c r="AB820" s="11" t="n">
        <f aca="false">SUMPRODUCT((AA820&gt;'Tax Tables'!$A$5:$A$17)*(AA820-'Tax Tables'!$A$5:$A$17)*'Tax Tables'!$C$5:$C$17)</f>
        <v>58476</v>
      </c>
      <c r="AC820" s="11" t="n">
        <f aca="false">IF(W820&lt;0,-1E+099,P820-T820-AB820+Y820+(T820+U820)*Calculator!$B$9)</f>
        <v>-1E+099</v>
      </c>
    </row>
    <row r="821" customFormat="false" ht="15" hidden="false" customHeight="false" outlineLevel="0" collapsed="false">
      <c r="A821" s="11" t="n">
        <f aca="false">808*$B$3</f>
        <v>404000</v>
      </c>
      <c r="B821" s="11" t="n">
        <f aca="false">0</f>
        <v>0</v>
      </c>
      <c r="C821" s="11" t="n">
        <f aca="false">A821-B821</f>
        <v>404000</v>
      </c>
      <c r="D821" s="11" t="n">
        <f aca="false">IF(Calculator!$B$6="Yes",MIN(B821,'Tax Tables'!$B$31*'Tax Tables'!$B$32),0)</f>
        <v>0</v>
      </c>
      <c r="E821" s="11" t="n">
        <f aca="false">D821*Calculator!$B$7</f>
        <v>0</v>
      </c>
      <c r="F821" s="11" t="n">
        <f aca="false">D821*Calculator!$B$8</f>
        <v>0</v>
      </c>
      <c r="G821" s="11" t="n">
        <f aca="false">IF(B821&gt;0,'Tax Tables'!$B$32*MIN(MAX(B821/'Tax Tables'!$B$32*'Tax Tables'!$B$33,'Tax Tables'!$B$34),'Tax Tables'!$B$35),0)</f>
        <v>0</v>
      </c>
      <c r="H821" s="11" t="n">
        <f aca="false">Calculator!$B$5-A821-F821-G821</f>
        <v>-4000</v>
      </c>
      <c r="I821" s="11" t="n">
        <f aca="false">'Tax Tables'!$B$22*(MAX(H821,0)-IF(Calculator!$B$10="Yes",MIN(MAX(H821,0),'Tax Tables'!$B$27)*'Tax Tables'!$B$28+MIN(MAX(MAX(H821,0)-'Tax Tables'!$B$27,0),'Tax Tables'!$B$29)*'Tax Tables'!$B$30,MIN(MAX(H821,0),'Tax Tables'!$B$23)*'Tax Tables'!$B$24+MIN(MAX(MAX(H821,0)-'Tax Tables'!$B$23,0),'Tax Tables'!$B$25)*'Tax Tables'!$B$26))*1-MIN('Tax Tables'!$B$22*(MAX(H821,0)-IF(Calculator!$B$10="Yes",MIN(MAX(H821,0),'Tax Tables'!$B$27)*'Tax Tables'!$B$28+MIN(MAX(MAX(H821,0)-'Tax Tables'!$B$27,0),'Tax Tables'!$B$29)*'Tax Tables'!$B$30,MIN(MAX(H821,0),'Tax Tables'!$B$23)*'Tax Tables'!$B$24+MIN(MAX(MAX(H821,0)-'Tax Tables'!$B$23,0),'Tax Tables'!$B$25)*'Tax Tables'!$B$26))*Calculator!$B$11,Calculator!$B$12)</f>
        <v>0</v>
      </c>
      <c r="J821" s="11" t="n">
        <f aca="false">MAX(H821,0)-I821</f>
        <v>0</v>
      </c>
      <c r="K821" s="11" t="n">
        <f aca="false">MIN(IF(A821&gt;0,Calculator!$B$13,0)+E821+Calculator!$B$14,'Tax Tables'!$B$36)</f>
        <v>1000</v>
      </c>
      <c r="L821" s="11" t="n">
        <f aca="false">MAX(A821-K821,0)</f>
        <v>403000</v>
      </c>
      <c r="M821" s="11" t="n">
        <f aca="false">SUMPRODUCT((L821&gt;'Tax Tables'!$A$5:$A$17)*(L821-'Tax Tables'!$A$5:$A$17)*'Tax Tables'!$C$5:$C$17)</f>
        <v>62810</v>
      </c>
      <c r="N821" s="11" t="n">
        <f aca="false">IF(H821&lt;0,-1E+099,A821-E821-M821+J821+(E821+F821)*Calculator!$B$9)</f>
        <v>-1E+099</v>
      </c>
      <c r="O821" s="2"/>
      <c r="P821" s="11" t="n">
        <f aca="false">808*$B$3</f>
        <v>404000</v>
      </c>
      <c r="Q821" s="11" t="n">
        <f aca="false">MIN(P821,'Tax Tables'!$B$31*'Tax Tables'!$B$32)</f>
        <v>96000</v>
      </c>
      <c r="R821" s="11" t="n">
        <f aca="false">P821-Q821</f>
        <v>308000</v>
      </c>
      <c r="S821" s="11" t="n">
        <f aca="false">IF(Calculator!$B$6="Yes",MIN(Q821,'Tax Tables'!$B$31*'Tax Tables'!$B$32),0)</f>
        <v>96000</v>
      </c>
      <c r="T821" s="11" t="n">
        <f aca="false">S821*Calculator!$B$7</f>
        <v>19200</v>
      </c>
      <c r="U821" s="11" t="n">
        <f aca="false">S821*Calculator!$B$8</f>
        <v>16320</v>
      </c>
      <c r="V821" s="11" t="n">
        <f aca="false">IF(Q821&gt;0,'Tax Tables'!$B$32*MIN(MAX(Q821/'Tax Tables'!$B$32*'Tax Tables'!$B$33,'Tax Tables'!$B$34),'Tax Tables'!$B$35),0)</f>
        <v>135</v>
      </c>
      <c r="W821" s="11" t="n">
        <f aca="false">Calculator!$B$5-P821-U821-V821</f>
        <v>-20455</v>
      </c>
      <c r="X821" s="11" t="n">
        <f aca="false">'Tax Tables'!$B$22*(MAX(W821,0)-IF(Calculator!$B$10="Yes",MIN(MAX(W821,0),'Tax Tables'!$B$27)*'Tax Tables'!$B$28+MIN(MAX(MAX(W821,0)-'Tax Tables'!$B$27,0),'Tax Tables'!$B$29)*'Tax Tables'!$B$30,MIN(MAX(W821,0),'Tax Tables'!$B$23)*'Tax Tables'!$B$24+MIN(MAX(MAX(W821,0)-'Tax Tables'!$B$23,0),'Tax Tables'!$B$25)*'Tax Tables'!$B$26))*1-MIN('Tax Tables'!$B$22*(MAX(W821,0)-IF(Calculator!$B$10="Yes",MIN(MAX(W821,0),'Tax Tables'!$B$27)*'Tax Tables'!$B$28+MIN(MAX(MAX(W821,0)-'Tax Tables'!$B$27,0),'Tax Tables'!$B$29)*'Tax Tables'!$B$30,MIN(MAX(W821,0),'Tax Tables'!$B$23)*'Tax Tables'!$B$24+MIN(MAX(MAX(W821,0)-'Tax Tables'!$B$23,0),'Tax Tables'!$B$25)*'Tax Tables'!$B$26))*Calculator!$B$11,Calculator!$B$12)</f>
        <v>0</v>
      </c>
      <c r="Y821" s="11" t="n">
        <f aca="false">MAX(W821,0)-X821</f>
        <v>0</v>
      </c>
      <c r="Z821" s="11" t="n">
        <f aca="false">MIN(IF(P821&gt;0,Calculator!$B$13,0)+T821+Calculator!$B$14,'Tax Tables'!$B$36)</f>
        <v>20200</v>
      </c>
      <c r="AA821" s="11" t="n">
        <f aca="false">MAX(P821-Z821,0)</f>
        <v>383800</v>
      </c>
      <c r="AB821" s="11" t="n">
        <f aca="false">SUMPRODUCT((AA821&gt;'Tax Tables'!$A$5:$A$17)*(AA821-'Tax Tables'!$A$5:$A$17)*'Tax Tables'!$C$5:$C$17)</f>
        <v>58586</v>
      </c>
      <c r="AC821" s="11" t="n">
        <f aca="false">IF(W821&lt;0,-1E+099,P821-T821-AB821+Y821+(T821+U821)*Calculator!$B$9)</f>
        <v>-1E+099</v>
      </c>
    </row>
    <row r="822" customFormat="false" ht="15" hidden="false" customHeight="false" outlineLevel="0" collapsed="false">
      <c r="A822" s="11" t="n">
        <f aca="false">809*$B$3</f>
        <v>404500</v>
      </c>
      <c r="B822" s="11" t="n">
        <f aca="false">0</f>
        <v>0</v>
      </c>
      <c r="C822" s="11" t="n">
        <f aca="false">A822-B822</f>
        <v>404500</v>
      </c>
      <c r="D822" s="11" t="n">
        <f aca="false">IF(Calculator!$B$6="Yes",MIN(B822,'Tax Tables'!$B$31*'Tax Tables'!$B$32),0)</f>
        <v>0</v>
      </c>
      <c r="E822" s="11" t="n">
        <f aca="false">D822*Calculator!$B$7</f>
        <v>0</v>
      </c>
      <c r="F822" s="11" t="n">
        <f aca="false">D822*Calculator!$B$8</f>
        <v>0</v>
      </c>
      <c r="G822" s="11" t="n">
        <f aca="false">IF(B822&gt;0,'Tax Tables'!$B$32*MIN(MAX(B822/'Tax Tables'!$B$32*'Tax Tables'!$B$33,'Tax Tables'!$B$34),'Tax Tables'!$B$35),0)</f>
        <v>0</v>
      </c>
      <c r="H822" s="11" t="n">
        <f aca="false">Calculator!$B$5-A822-F822-G822</f>
        <v>-4500</v>
      </c>
      <c r="I822" s="11" t="n">
        <f aca="false">'Tax Tables'!$B$22*(MAX(H822,0)-IF(Calculator!$B$10="Yes",MIN(MAX(H822,0),'Tax Tables'!$B$27)*'Tax Tables'!$B$28+MIN(MAX(MAX(H822,0)-'Tax Tables'!$B$27,0),'Tax Tables'!$B$29)*'Tax Tables'!$B$30,MIN(MAX(H822,0),'Tax Tables'!$B$23)*'Tax Tables'!$B$24+MIN(MAX(MAX(H822,0)-'Tax Tables'!$B$23,0),'Tax Tables'!$B$25)*'Tax Tables'!$B$26))*1-MIN('Tax Tables'!$B$22*(MAX(H822,0)-IF(Calculator!$B$10="Yes",MIN(MAX(H822,0),'Tax Tables'!$B$27)*'Tax Tables'!$B$28+MIN(MAX(MAX(H822,0)-'Tax Tables'!$B$27,0),'Tax Tables'!$B$29)*'Tax Tables'!$B$30,MIN(MAX(H822,0),'Tax Tables'!$B$23)*'Tax Tables'!$B$24+MIN(MAX(MAX(H822,0)-'Tax Tables'!$B$23,0),'Tax Tables'!$B$25)*'Tax Tables'!$B$26))*Calculator!$B$11,Calculator!$B$12)</f>
        <v>0</v>
      </c>
      <c r="J822" s="11" t="n">
        <f aca="false">MAX(H822,0)-I822</f>
        <v>0</v>
      </c>
      <c r="K822" s="11" t="n">
        <f aca="false">MIN(IF(A822&gt;0,Calculator!$B$13,0)+E822+Calculator!$B$14,'Tax Tables'!$B$36)</f>
        <v>1000</v>
      </c>
      <c r="L822" s="11" t="n">
        <f aca="false">MAX(A822-K822,0)</f>
        <v>403500</v>
      </c>
      <c r="M822" s="11" t="n">
        <f aca="false">SUMPRODUCT((L822&gt;'Tax Tables'!$A$5:$A$17)*(L822-'Tax Tables'!$A$5:$A$17)*'Tax Tables'!$C$5:$C$17)</f>
        <v>62920</v>
      </c>
      <c r="N822" s="11" t="n">
        <f aca="false">IF(H822&lt;0,-1E+099,A822-E822-M822+J822+(E822+F822)*Calculator!$B$9)</f>
        <v>-1E+099</v>
      </c>
      <c r="O822" s="2"/>
      <c r="P822" s="11" t="n">
        <f aca="false">809*$B$3</f>
        <v>404500</v>
      </c>
      <c r="Q822" s="11" t="n">
        <f aca="false">MIN(P822,'Tax Tables'!$B$31*'Tax Tables'!$B$32)</f>
        <v>96000</v>
      </c>
      <c r="R822" s="11" t="n">
        <f aca="false">P822-Q822</f>
        <v>308500</v>
      </c>
      <c r="S822" s="11" t="n">
        <f aca="false">IF(Calculator!$B$6="Yes",MIN(Q822,'Tax Tables'!$B$31*'Tax Tables'!$B$32),0)</f>
        <v>96000</v>
      </c>
      <c r="T822" s="11" t="n">
        <f aca="false">S822*Calculator!$B$7</f>
        <v>19200</v>
      </c>
      <c r="U822" s="11" t="n">
        <f aca="false">S822*Calculator!$B$8</f>
        <v>16320</v>
      </c>
      <c r="V822" s="11" t="n">
        <f aca="false">IF(Q822&gt;0,'Tax Tables'!$B$32*MIN(MAX(Q822/'Tax Tables'!$B$32*'Tax Tables'!$B$33,'Tax Tables'!$B$34),'Tax Tables'!$B$35),0)</f>
        <v>135</v>
      </c>
      <c r="W822" s="11" t="n">
        <f aca="false">Calculator!$B$5-P822-U822-V822</f>
        <v>-20955</v>
      </c>
      <c r="X822" s="11" t="n">
        <f aca="false">'Tax Tables'!$B$22*(MAX(W822,0)-IF(Calculator!$B$10="Yes",MIN(MAX(W822,0),'Tax Tables'!$B$27)*'Tax Tables'!$B$28+MIN(MAX(MAX(W822,0)-'Tax Tables'!$B$27,0),'Tax Tables'!$B$29)*'Tax Tables'!$B$30,MIN(MAX(W822,0),'Tax Tables'!$B$23)*'Tax Tables'!$B$24+MIN(MAX(MAX(W822,0)-'Tax Tables'!$B$23,0),'Tax Tables'!$B$25)*'Tax Tables'!$B$26))*1-MIN('Tax Tables'!$B$22*(MAX(W822,0)-IF(Calculator!$B$10="Yes",MIN(MAX(W822,0),'Tax Tables'!$B$27)*'Tax Tables'!$B$28+MIN(MAX(MAX(W822,0)-'Tax Tables'!$B$27,0),'Tax Tables'!$B$29)*'Tax Tables'!$B$30,MIN(MAX(W822,0),'Tax Tables'!$B$23)*'Tax Tables'!$B$24+MIN(MAX(MAX(W822,0)-'Tax Tables'!$B$23,0),'Tax Tables'!$B$25)*'Tax Tables'!$B$26))*Calculator!$B$11,Calculator!$B$12)</f>
        <v>0</v>
      </c>
      <c r="Y822" s="11" t="n">
        <f aca="false">MAX(W822,0)-X822</f>
        <v>0</v>
      </c>
      <c r="Z822" s="11" t="n">
        <f aca="false">MIN(IF(P822&gt;0,Calculator!$B$13,0)+T822+Calculator!$B$14,'Tax Tables'!$B$36)</f>
        <v>20200</v>
      </c>
      <c r="AA822" s="11" t="n">
        <f aca="false">MAX(P822-Z822,0)</f>
        <v>384300</v>
      </c>
      <c r="AB822" s="11" t="n">
        <f aca="false">SUMPRODUCT((AA822&gt;'Tax Tables'!$A$5:$A$17)*(AA822-'Tax Tables'!$A$5:$A$17)*'Tax Tables'!$C$5:$C$17)</f>
        <v>58696</v>
      </c>
      <c r="AC822" s="11" t="n">
        <f aca="false">IF(W822&lt;0,-1E+099,P822-T822-AB822+Y822+(T822+U822)*Calculator!$B$9)</f>
        <v>-1E+099</v>
      </c>
    </row>
    <row r="823" customFormat="false" ht="15" hidden="false" customHeight="false" outlineLevel="0" collapsed="false">
      <c r="A823" s="11" t="n">
        <f aca="false">810*$B$3</f>
        <v>405000</v>
      </c>
      <c r="B823" s="11" t="n">
        <f aca="false">0</f>
        <v>0</v>
      </c>
      <c r="C823" s="11" t="n">
        <f aca="false">A823-B823</f>
        <v>405000</v>
      </c>
      <c r="D823" s="11" t="n">
        <f aca="false">IF(Calculator!$B$6="Yes",MIN(B823,'Tax Tables'!$B$31*'Tax Tables'!$B$32),0)</f>
        <v>0</v>
      </c>
      <c r="E823" s="11" t="n">
        <f aca="false">D823*Calculator!$B$7</f>
        <v>0</v>
      </c>
      <c r="F823" s="11" t="n">
        <f aca="false">D823*Calculator!$B$8</f>
        <v>0</v>
      </c>
      <c r="G823" s="11" t="n">
        <f aca="false">IF(B823&gt;0,'Tax Tables'!$B$32*MIN(MAX(B823/'Tax Tables'!$B$32*'Tax Tables'!$B$33,'Tax Tables'!$B$34),'Tax Tables'!$B$35),0)</f>
        <v>0</v>
      </c>
      <c r="H823" s="11" t="n">
        <f aca="false">Calculator!$B$5-A823-F823-G823</f>
        <v>-5000</v>
      </c>
      <c r="I823" s="11" t="n">
        <f aca="false">'Tax Tables'!$B$22*(MAX(H823,0)-IF(Calculator!$B$10="Yes",MIN(MAX(H823,0),'Tax Tables'!$B$27)*'Tax Tables'!$B$28+MIN(MAX(MAX(H823,0)-'Tax Tables'!$B$27,0),'Tax Tables'!$B$29)*'Tax Tables'!$B$30,MIN(MAX(H823,0),'Tax Tables'!$B$23)*'Tax Tables'!$B$24+MIN(MAX(MAX(H823,0)-'Tax Tables'!$B$23,0),'Tax Tables'!$B$25)*'Tax Tables'!$B$26))*1-MIN('Tax Tables'!$B$22*(MAX(H823,0)-IF(Calculator!$B$10="Yes",MIN(MAX(H823,0),'Tax Tables'!$B$27)*'Tax Tables'!$B$28+MIN(MAX(MAX(H823,0)-'Tax Tables'!$B$27,0),'Tax Tables'!$B$29)*'Tax Tables'!$B$30,MIN(MAX(H823,0),'Tax Tables'!$B$23)*'Tax Tables'!$B$24+MIN(MAX(MAX(H823,0)-'Tax Tables'!$B$23,0),'Tax Tables'!$B$25)*'Tax Tables'!$B$26))*Calculator!$B$11,Calculator!$B$12)</f>
        <v>0</v>
      </c>
      <c r="J823" s="11" t="n">
        <f aca="false">MAX(H823,0)-I823</f>
        <v>0</v>
      </c>
      <c r="K823" s="11" t="n">
        <f aca="false">MIN(IF(A823&gt;0,Calculator!$B$13,0)+E823+Calculator!$B$14,'Tax Tables'!$B$36)</f>
        <v>1000</v>
      </c>
      <c r="L823" s="11" t="n">
        <f aca="false">MAX(A823-K823,0)</f>
        <v>404000</v>
      </c>
      <c r="M823" s="11" t="n">
        <f aca="false">SUMPRODUCT((L823&gt;'Tax Tables'!$A$5:$A$17)*(L823-'Tax Tables'!$A$5:$A$17)*'Tax Tables'!$C$5:$C$17)</f>
        <v>63030</v>
      </c>
      <c r="N823" s="11" t="n">
        <f aca="false">IF(H823&lt;0,-1E+099,A823-E823-M823+J823+(E823+F823)*Calculator!$B$9)</f>
        <v>-1E+099</v>
      </c>
      <c r="O823" s="2"/>
      <c r="P823" s="11" t="n">
        <f aca="false">810*$B$3</f>
        <v>405000</v>
      </c>
      <c r="Q823" s="11" t="n">
        <f aca="false">MIN(P823,'Tax Tables'!$B$31*'Tax Tables'!$B$32)</f>
        <v>96000</v>
      </c>
      <c r="R823" s="11" t="n">
        <f aca="false">P823-Q823</f>
        <v>309000</v>
      </c>
      <c r="S823" s="11" t="n">
        <f aca="false">IF(Calculator!$B$6="Yes",MIN(Q823,'Tax Tables'!$B$31*'Tax Tables'!$B$32),0)</f>
        <v>96000</v>
      </c>
      <c r="T823" s="11" t="n">
        <f aca="false">S823*Calculator!$B$7</f>
        <v>19200</v>
      </c>
      <c r="U823" s="11" t="n">
        <f aca="false">S823*Calculator!$B$8</f>
        <v>16320</v>
      </c>
      <c r="V823" s="11" t="n">
        <f aca="false">IF(Q823&gt;0,'Tax Tables'!$B$32*MIN(MAX(Q823/'Tax Tables'!$B$32*'Tax Tables'!$B$33,'Tax Tables'!$B$34),'Tax Tables'!$B$35),0)</f>
        <v>135</v>
      </c>
      <c r="W823" s="11" t="n">
        <f aca="false">Calculator!$B$5-P823-U823-V823</f>
        <v>-21455</v>
      </c>
      <c r="X823" s="11" t="n">
        <f aca="false">'Tax Tables'!$B$22*(MAX(W823,0)-IF(Calculator!$B$10="Yes",MIN(MAX(W823,0),'Tax Tables'!$B$27)*'Tax Tables'!$B$28+MIN(MAX(MAX(W823,0)-'Tax Tables'!$B$27,0),'Tax Tables'!$B$29)*'Tax Tables'!$B$30,MIN(MAX(W823,0),'Tax Tables'!$B$23)*'Tax Tables'!$B$24+MIN(MAX(MAX(W823,0)-'Tax Tables'!$B$23,0),'Tax Tables'!$B$25)*'Tax Tables'!$B$26))*1-MIN('Tax Tables'!$B$22*(MAX(W823,0)-IF(Calculator!$B$10="Yes",MIN(MAX(W823,0),'Tax Tables'!$B$27)*'Tax Tables'!$B$28+MIN(MAX(MAX(W823,0)-'Tax Tables'!$B$27,0),'Tax Tables'!$B$29)*'Tax Tables'!$B$30,MIN(MAX(W823,0),'Tax Tables'!$B$23)*'Tax Tables'!$B$24+MIN(MAX(MAX(W823,0)-'Tax Tables'!$B$23,0),'Tax Tables'!$B$25)*'Tax Tables'!$B$26))*Calculator!$B$11,Calculator!$B$12)</f>
        <v>0</v>
      </c>
      <c r="Y823" s="11" t="n">
        <f aca="false">MAX(W823,0)-X823</f>
        <v>0</v>
      </c>
      <c r="Z823" s="11" t="n">
        <f aca="false">MIN(IF(P823&gt;0,Calculator!$B$13,0)+T823+Calculator!$B$14,'Tax Tables'!$B$36)</f>
        <v>20200</v>
      </c>
      <c r="AA823" s="11" t="n">
        <f aca="false">MAX(P823-Z823,0)</f>
        <v>384800</v>
      </c>
      <c r="AB823" s="11" t="n">
        <f aca="false">SUMPRODUCT((AA823&gt;'Tax Tables'!$A$5:$A$17)*(AA823-'Tax Tables'!$A$5:$A$17)*'Tax Tables'!$C$5:$C$17)</f>
        <v>58806</v>
      </c>
      <c r="AC823" s="11" t="n">
        <f aca="false">IF(W823&lt;0,-1E+099,P823-T823-AB823+Y823+(T823+U823)*Calculator!$B$9)</f>
        <v>-1E+099</v>
      </c>
    </row>
    <row r="824" customFormat="false" ht="15" hidden="false" customHeight="false" outlineLevel="0" collapsed="false">
      <c r="A824" s="11" t="n">
        <f aca="false">811*$B$3</f>
        <v>405500</v>
      </c>
      <c r="B824" s="11" t="n">
        <f aca="false">0</f>
        <v>0</v>
      </c>
      <c r="C824" s="11" t="n">
        <f aca="false">A824-B824</f>
        <v>405500</v>
      </c>
      <c r="D824" s="11" t="n">
        <f aca="false">IF(Calculator!$B$6="Yes",MIN(B824,'Tax Tables'!$B$31*'Tax Tables'!$B$32),0)</f>
        <v>0</v>
      </c>
      <c r="E824" s="11" t="n">
        <f aca="false">D824*Calculator!$B$7</f>
        <v>0</v>
      </c>
      <c r="F824" s="11" t="n">
        <f aca="false">D824*Calculator!$B$8</f>
        <v>0</v>
      </c>
      <c r="G824" s="11" t="n">
        <f aca="false">IF(B824&gt;0,'Tax Tables'!$B$32*MIN(MAX(B824/'Tax Tables'!$B$32*'Tax Tables'!$B$33,'Tax Tables'!$B$34),'Tax Tables'!$B$35),0)</f>
        <v>0</v>
      </c>
      <c r="H824" s="11" t="n">
        <f aca="false">Calculator!$B$5-A824-F824-G824</f>
        <v>-5500</v>
      </c>
      <c r="I824" s="11" t="n">
        <f aca="false">'Tax Tables'!$B$22*(MAX(H824,0)-IF(Calculator!$B$10="Yes",MIN(MAX(H824,0),'Tax Tables'!$B$27)*'Tax Tables'!$B$28+MIN(MAX(MAX(H824,0)-'Tax Tables'!$B$27,0),'Tax Tables'!$B$29)*'Tax Tables'!$B$30,MIN(MAX(H824,0),'Tax Tables'!$B$23)*'Tax Tables'!$B$24+MIN(MAX(MAX(H824,0)-'Tax Tables'!$B$23,0),'Tax Tables'!$B$25)*'Tax Tables'!$B$26))*1-MIN('Tax Tables'!$B$22*(MAX(H824,0)-IF(Calculator!$B$10="Yes",MIN(MAX(H824,0),'Tax Tables'!$B$27)*'Tax Tables'!$B$28+MIN(MAX(MAX(H824,0)-'Tax Tables'!$B$27,0),'Tax Tables'!$B$29)*'Tax Tables'!$B$30,MIN(MAX(H824,0),'Tax Tables'!$B$23)*'Tax Tables'!$B$24+MIN(MAX(MAX(H824,0)-'Tax Tables'!$B$23,0),'Tax Tables'!$B$25)*'Tax Tables'!$B$26))*Calculator!$B$11,Calculator!$B$12)</f>
        <v>0</v>
      </c>
      <c r="J824" s="11" t="n">
        <f aca="false">MAX(H824,0)-I824</f>
        <v>0</v>
      </c>
      <c r="K824" s="11" t="n">
        <f aca="false">MIN(IF(A824&gt;0,Calculator!$B$13,0)+E824+Calculator!$B$14,'Tax Tables'!$B$36)</f>
        <v>1000</v>
      </c>
      <c r="L824" s="11" t="n">
        <f aca="false">MAX(A824-K824,0)</f>
        <v>404500</v>
      </c>
      <c r="M824" s="11" t="n">
        <f aca="false">SUMPRODUCT((L824&gt;'Tax Tables'!$A$5:$A$17)*(L824-'Tax Tables'!$A$5:$A$17)*'Tax Tables'!$C$5:$C$17)</f>
        <v>63140</v>
      </c>
      <c r="N824" s="11" t="n">
        <f aca="false">IF(H824&lt;0,-1E+099,A824-E824-M824+J824+(E824+F824)*Calculator!$B$9)</f>
        <v>-1E+099</v>
      </c>
      <c r="O824" s="2"/>
      <c r="P824" s="11" t="n">
        <f aca="false">811*$B$3</f>
        <v>405500</v>
      </c>
      <c r="Q824" s="11" t="n">
        <f aca="false">MIN(P824,'Tax Tables'!$B$31*'Tax Tables'!$B$32)</f>
        <v>96000</v>
      </c>
      <c r="R824" s="11" t="n">
        <f aca="false">P824-Q824</f>
        <v>309500</v>
      </c>
      <c r="S824" s="11" t="n">
        <f aca="false">IF(Calculator!$B$6="Yes",MIN(Q824,'Tax Tables'!$B$31*'Tax Tables'!$B$32),0)</f>
        <v>96000</v>
      </c>
      <c r="T824" s="11" t="n">
        <f aca="false">S824*Calculator!$B$7</f>
        <v>19200</v>
      </c>
      <c r="U824" s="11" t="n">
        <f aca="false">S824*Calculator!$B$8</f>
        <v>16320</v>
      </c>
      <c r="V824" s="11" t="n">
        <f aca="false">IF(Q824&gt;0,'Tax Tables'!$B$32*MIN(MAX(Q824/'Tax Tables'!$B$32*'Tax Tables'!$B$33,'Tax Tables'!$B$34),'Tax Tables'!$B$35),0)</f>
        <v>135</v>
      </c>
      <c r="W824" s="11" t="n">
        <f aca="false">Calculator!$B$5-P824-U824-V824</f>
        <v>-21955</v>
      </c>
      <c r="X824" s="11" t="n">
        <f aca="false">'Tax Tables'!$B$22*(MAX(W824,0)-IF(Calculator!$B$10="Yes",MIN(MAX(W824,0),'Tax Tables'!$B$27)*'Tax Tables'!$B$28+MIN(MAX(MAX(W824,0)-'Tax Tables'!$B$27,0),'Tax Tables'!$B$29)*'Tax Tables'!$B$30,MIN(MAX(W824,0),'Tax Tables'!$B$23)*'Tax Tables'!$B$24+MIN(MAX(MAX(W824,0)-'Tax Tables'!$B$23,0),'Tax Tables'!$B$25)*'Tax Tables'!$B$26))*1-MIN('Tax Tables'!$B$22*(MAX(W824,0)-IF(Calculator!$B$10="Yes",MIN(MAX(W824,0),'Tax Tables'!$B$27)*'Tax Tables'!$B$28+MIN(MAX(MAX(W824,0)-'Tax Tables'!$B$27,0),'Tax Tables'!$B$29)*'Tax Tables'!$B$30,MIN(MAX(W824,0),'Tax Tables'!$B$23)*'Tax Tables'!$B$24+MIN(MAX(MAX(W824,0)-'Tax Tables'!$B$23,0),'Tax Tables'!$B$25)*'Tax Tables'!$B$26))*Calculator!$B$11,Calculator!$B$12)</f>
        <v>0</v>
      </c>
      <c r="Y824" s="11" t="n">
        <f aca="false">MAX(W824,0)-X824</f>
        <v>0</v>
      </c>
      <c r="Z824" s="11" t="n">
        <f aca="false">MIN(IF(P824&gt;0,Calculator!$B$13,0)+T824+Calculator!$B$14,'Tax Tables'!$B$36)</f>
        <v>20200</v>
      </c>
      <c r="AA824" s="11" t="n">
        <f aca="false">MAX(P824-Z824,0)</f>
        <v>385300</v>
      </c>
      <c r="AB824" s="11" t="n">
        <f aca="false">SUMPRODUCT((AA824&gt;'Tax Tables'!$A$5:$A$17)*(AA824-'Tax Tables'!$A$5:$A$17)*'Tax Tables'!$C$5:$C$17)</f>
        <v>58916</v>
      </c>
      <c r="AC824" s="11" t="n">
        <f aca="false">IF(W824&lt;0,-1E+099,P824-T824-AB824+Y824+(T824+U824)*Calculator!$B$9)</f>
        <v>-1E+099</v>
      </c>
    </row>
    <row r="825" customFormat="false" ht="15" hidden="false" customHeight="false" outlineLevel="0" collapsed="false">
      <c r="A825" s="11" t="n">
        <f aca="false">812*$B$3</f>
        <v>406000</v>
      </c>
      <c r="B825" s="11" t="n">
        <f aca="false">0</f>
        <v>0</v>
      </c>
      <c r="C825" s="11" t="n">
        <f aca="false">A825-B825</f>
        <v>406000</v>
      </c>
      <c r="D825" s="11" t="n">
        <f aca="false">IF(Calculator!$B$6="Yes",MIN(B825,'Tax Tables'!$B$31*'Tax Tables'!$B$32),0)</f>
        <v>0</v>
      </c>
      <c r="E825" s="11" t="n">
        <f aca="false">D825*Calculator!$B$7</f>
        <v>0</v>
      </c>
      <c r="F825" s="11" t="n">
        <f aca="false">D825*Calculator!$B$8</f>
        <v>0</v>
      </c>
      <c r="G825" s="11" t="n">
        <f aca="false">IF(B825&gt;0,'Tax Tables'!$B$32*MIN(MAX(B825/'Tax Tables'!$B$32*'Tax Tables'!$B$33,'Tax Tables'!$B$34),'Tax Tables'!$B$35),0)</f>
        <v>0</v>
      </c>
      <c r="H825" s="11" t="n">
        <f aca="false">Calculator!$B$5-A825-F825-G825</f>
        <v>-6000</v>
      </c>
      <c r="I825" s="11" t="n">
        <f aca="false">'Tax Tables'!$B$22*(MAX(H825,0)-IF(Calculator!$B$10="Yes",MIN(MAX(H825,0),'Tax Tables'!$B$27)*'Tax Tables'!$B$28+MIN(MAX(MAX(H825,0)-'Tax Tables'!$B$27,0),'Tax Tables'!$B$29)*'Tax Tables'!$B$30,MIN(MAX(H825,0),'Tax Tables'!$B$23)*'Tax Tables'!$B$24+MIN(MAX(MAX(H825,0)-'Tax Tables'!$B$23,0),'Tax Tables'!$B$25)*'Tax Tables'!$B$26))*1-MIN('Tax Tables'!$B$22*(MAX(H825,0)-IF(Calculator!$B$10="Yes",MIN(MAX(H825,0),'Tax Tables'!$B$27)*'Tax Tables'!$B$28+MIN(MAX(MAX(H825,0)-'Tax Tables'!$B$27,0),'Tax Tables'!$B$29)*'Tax Tables'!$B$30,MIN(MAX(H825,0),'Tax Tables'!$B$23)*'Tax Tables'!$B$24+MIN(MAX(MAX(H825,0)-'Tax Tables'!$B$23,0),'Tax Tables'!$B$25)*'Tax Tables'!$B$26))*Calculator!$B$11,Calculator!$B$12)</f>
        <v>0</v>
      </c>
      <c r="J825" s="11" t="n">
        <f aca="false">MAX(H825,0)-I825</f>
        <v>0</v>
      </c>
      <c r="K825" s="11" t="n">
        <f aca="false">MIN(IF(A825&gt;0,Calculator!$B$13,0)+E825+Calculator!$B$14,'Tax Tables'!$B$36)</f>
        <v>1000</v>
      </c>
      <c r="L825" s="11" t="n">
        <f aca="false">MAX(A825-K825,0)</f>
        <v>405000</v>
      </c>
      <c r="M825" s="11" t="n">
        <f aca="false">SUMPRODUCT((L825&gt;'Tax Tables'!$A$5:$A$17)*(L825-'Tax Tables'!$A$5:$A$17)*'Tax Tables'!$C$5:$C$17)</f>
        <v>63250</v>
      </c>
      <c r="N825" s="11" t="n">
        <f aca="false">IF(H825&lt;0,-1E+099,A825-E825-M825+J825+(E825+F825)*Calculator!$B$9)</f>
        <v>-1E+099</v>
      </c>
      <c r="O825" s="2"/>
      <c r="P825" s="11" t="n">
        <f aca="false">812*$B$3</f>
        <v>406000</v>
      </c>
      <c r="Q825" s="11" t="n">
        <f aca="false">MIN(P825,'Tax Tables'!$B$31*'Tax Tables'!$B$32)</f>
        <v>96000</v>
      </c>
      <c r="R825" s="11" t="n">
        <f aca="false">P825-Q825</f>
        <v>310000</v>
      </c>
      <c r="S825" s="11" t="n">
        <f aca="false">IF(Calculator!$B$6="Yes",MIN(Q825,'Tax Tables'!$B$31*'Tax Tables'!$B$32),0)</f>
        <v>96000</v>
      </c>
      <c r="T825" s="11" t="n">
        <f aca="false">S825*Calculator!$B$7</f>
        <v>19200</v>
      </c>
      <c r="U825" s="11" t="n">
        <f aca="false">S825*Calculator!$B$8</f>
        <v>16320</v>
      </c>
      <c r="V825" s="11" t="n">
        <f aca="false">IF(Q825&gt;0,'Tax Tables'!$B$32*MIN(MAX(Q825/'Tax Tables'!$B$32*'Tax Tables'!$B$33,'Tax Tables'!$B$34),'Tax Tables'!$B$35),0)</f>
        <v>135</v>
      </c>
      <c r="W825" s="11" t="n">
        <f aca="false">Calculator!$B$5-P825-U825-V825</f>
        <v>-22455</v>
      </c>
      <c r="X825" s="11" t="n">
        <f aca="false">'Tax Tables'!$B$22*(MAX(W825,0)-IF(Calculator!$B$10="Yes",MIN(MAX(W825,0),'Tax Tables'!$B$27)*'Tax Tables'!$B$28+MIN(MAX(MAX(W825,0)-'Tax Tables'!$B$27,0),'Tax Tables'!$B$29)*'Tax Tables'!$B$30,MIN(MAX(W825,0),'Tax Tables'!$B$23)*'Tax Tables'!$B$24+MIN(MAX(MAX(W825,0)-'Tax Tables'!$B$23,0),'Tax Tables'!$B$25)*'Tax Tables'!$B$26))*1-MIN('Tax Tables'!$B$22*(MAX(W825,0)-IF(Calculator!$B$10="Yes",MIN(MAX(W825,0),'Tax Tables'!$B$27)*'Tax Tables'!$B$28+MIN(MAX(MAX(W825,0)-'Tax Tables'!$B$27,0),'Tax Tables'!$B$29)*'Tax Tables'!$B$30,MIN(MAX(W825,0),'Tax Tables'!$B$23)*'Tax Tables'!$B$24+MIN(MAX(MAX(W825,0)-'Tax Tables'!$B$23,0),'Tax Tables'!$B$25)*'Tax Tables'!$B$26))*Calculator!$B$11,Calculator!$B$12)</f>
        <v>0</v>
      </c>
      <c r="Y825" s="11" t="n">
        <f aca="false">MAX(W825,0)-X825</f>
        <v>0</v>
      </c>
      <c r="Z825" s="11" t="n">
        <f aca="false">MIN(IF(P825&gt;0,Calculator!$B$13,0)+T825+Calculator!$B$14,'Tax Tables'!$B$36)</f>
        <v>20200</v>
      </c>
      <c r="AA825" s="11" t="n">
        <f aca="false">MAX(P825-Z825,0)</f>
        <v>385800</v>
      </c>
      <c r="AB825" s="11" t="n">
        <f aca="false">SUMPRODUCT((AA825&gt;'Tax Tables'!$A$5:$A$17)*(AA825-'Tax Tables'!$A$5:$A$17)*'Tax Tables'!$C$5:$C$17)</f>
        <v>59026</v>
      </c>
      <c r="AC825" s="11" t="n">
        <f aca="false">IF(W825&lt;0,-1E+099,P825-T825-AB825+Y825+(T825+U825)*Calculator!$B$9)</f>
        <v>-1E+099</v>
      </c>
    </row>
    <row r="826" customFormat="false" ht="15" hidden="false" customHeight="false" outlineLevel="0" collapsed="false">
      <c r="A826" s="11" t="n">
        <f aca="false">813*$B$3</f>
        <v>406500</v>
      </c>
      <c r="B826" s="11" t="n">
        <f aca="false">0</f>
        <v>0</v>
      </c>
      <c r="C826" s="11" t="n">
        <f aca="false">A826-B826</f>
        <v>406500</v>
      </c>
      <c r="D826" s="11" t="n">
        <f aca="false">IF(Calculator!$B$6="Yes",MIN(B826,'Tax Tables'!$B$31*'Tax Tables'!$B$32),0)</f>
        <v>0</v>
      </c>
      <c r="E826" s="11" t="n">
        <f aca="false">D826*Calculator!$B$7</f>
        <v>0</v>
      </c>
      <c r="F826" s="11" t="n">
        <f aca="false">D826*Calculator!$B$8</f>
        <v>0</v>
      </c>
      <c r="G826" s="11" t="n">
        <f aca="false">IF(B826&gt;0,'Tax Tables'!$B$32*MIN(MAX(B826/'Tax Tables'!$B$32*'Tax Tables'!$B$33,'Tax Tables'!$B$34),'Tax Tables'!$B$35),0)</f>
        <v>0</v>
      </c>
      <c r="H826" s="11" t="n">
        <f aca="false">Calculator!$B$5-A826-F826-G826</f>
        <v>-6500</v>
      </c>
      <c r="I826" s="11" t="n">
        <f aca="false">'Tax Tables'!$B$22*(MAX(H826,0)-IF(Calculator!$B$10="Yes",MIN(MAX(H826,0),'Tax Tables'!$B$27)*'Tax Tables'!$B$28+MIN(MAX(MAX(H826,0)-'Tax Tables'!$B$27,0),'Tax Tables'!$B$29)*'Tax Tables'!$B$30,MIN(MAX(H826,0),'Tax Tables'!$B$23)*'Tax Tables'!$B$24+MIN(MAX(MAX(H826,0)-'Tax Tables'!$B$23,0),'Tax Tables'!$B$25)*'Tax Tables'!$B$26))*1-MIN('Tax Tables'!$B$22*(MAX(H826,0)-IF(Calculator!$B$10="Yes",MIN(MAX(H826,0),'Tax Tables'!$B$27)*'Tax Tables'!$B$28+MIN(MAX(MAX(H826,0)-'Tax Tables'!$B$27,0),'Tax Tables'!$B$29)*'Tax Tables'!$B$30,MIN(MAX(H826,0),'Tax Tables'!$B$23)*'Tax Tables'!$B$24+MIN(MAX(MAX(H826,0)-'Tax Tables'!$B$23,0),'Tax Tables'!$B$25)*'Tax Tables'!$B$26))*Calculator!$B$11,Calculator!$B$12)</f>
        <v>0</v>
      </c>
      <c r="J826" s="11" t="n">
        <f aca="false">MAX(H826,0)-I826</f>
        <v>0</v>
      </c>
      <c r="K826" s="11" t="n">
        <f aca="false">MIN(IF(A826&gt;0,Calculator!$B$13,0)+E826+Calculator!$B$14,'Tax Tables'!$B$36)</f>
        <v>1000</v>
      </c>
      <c r="L826" s="11" t="n">
        <f aca="false">MAX(A826-K826,0)</f>
        <v>405500</v>
      </c>
      <c r="M826" s="11" t="n">
        <f aca="false">SUMPRODUCT((L826&gt;'Tax Tables'!$A$5:$A$17)*(L826-'Tax Tables'!$A$5:$A$17)*'Tax Tables'!$C$5:$C$17)</f>
        <v>63360</v>
      </c>
      <c r="N826" s="11" t="n">
        <f aca="false">IF(H826&lt;0,-1E+099,A826-E826-M826+J826+(E826+F826)*Calculator!$B$9)</f>
        <v>-1E+099</v>
      </c>
      <c r="O826" s="2"/>
      <c r="P826" s="11" t="n">
        <f aca="false">813*$B$3</f>
        <v>406500</v>
      </c>
      <c r="Q826" s="11" t="n">
        <f aca="false">MIN(P826,'Tax Tables'!$B$31*'Tax Tables'!$B$32)</f>
        <v>96000</v>
      </c>
      <c r="R826" s="11" t="n">
        <f aca="false">P826-Q826</f>
        <v>310500</v>
      </c>
      <c r="S826" s="11" t="n">
        <f aca="false">IF(Calculator!$B$6="Yes",MIN(Q826,'Tax Tables'!$B$31*'Tax Tables'!$B$32),0)</f>
        <v>96000</v>
      </c>
      <c r="T826" s="11" t="n">
        <f aca="false">S826*Calculator!$B$7</f>
        <v>19200</v>
      </c>
      <c r="U826" s="11" t="n">
        <f aca="false">S826*Calculator!$B$8</f>
        <v>16320</v>
      </c>
      <c r="V826" s="11" t="n">
        <f aca="false">IF(Q826&gt;0,'Tax Tables'!$B$32*MIN(MAX(Q826/'Tax Tables'!$B$32*'Tax Tables'!$B$33,'Tax Tables'!$B$34),'Tax Tables'!$B$35),0)</f>
        <v>135</v>
      </c>
      <c r="W826" s="11" t="n">
        <f aca="false">Calculator!$B$5-P826-U826-V826</f>
        <v>-22955</v>
      </c>
      <c r="X826" s="11" t="n">
        <f aca="false">'Tax Tables'!$B$22*(MAX(W826,0)-IF(Calculator!$B$10="Yes",MIN(MAX(W826,0),'Tax Tables'!$B$27)*'Tax Tables'!$B$28+MIN(MAX(MAX(W826,0)-'Tax Tables'!$B$27,0),'Tax Tables'!$B$29)*'Tax Tables'!$B$30,MIN(MAX(W826,0),'Tax Tables'!$B$23)*'Tax Tables'!$B$24+MIN(MAX(MAX(W826,0)-'Tax Tables'!$B$23,0),'Tax Tables'!$B$25)*'Tax Tables'!$B$26))*1-MIN('Tax Tables'!$B$22*(MAX(W826,0)-IF(Calculator!$B$10="Yes",MIN(MAX(W826,0),'Tax Tables'!$B$27)*'Tax Tables'!$B$28+MIN(MAX(MAX(W826,0)-'Tax Tables'!$B$27,0),'Tax Tables'!$B$29)*'Tax Tables'!$B$30,MIN(MAX(W826,0),'Tax Tables'!$B$23)*'Tax Tables'!$B$24+MIN(MAX(MAX(W826,0)-'Tax Tables'!$B$23,0),'Tax Tables'!$B$25)*'Tax Tables'!$B$26))*Calculator!$B$11,Calculator!$B$12)</f>
        <v>0</v>
      </c>
      <c r="Y826" s="11" t="n">
        <f aca="false">MAX(W826,0)-X826</f>
        <v>0</v>
      </c>
      <c r="Z826" s="11" t="n">
        <f aca="false">MIN(IF(P826&gt;0,Calculator!$B$13,0)+T826+Calculator!$B$14,'Tax Tables'!$B$36)</f>
        <v>20200</v>
      </c>
      <c r="AA826" s="11" t="n">
        <f aca="false">MAX(P826-Z826,0)</f>
        <v>386300</v>
      </c>
      <c r="AB826" s="11" t="n">
        <f aca="false">SUMPRODUCT((AA826&gt;'Tax Tables'!$A$5:$A$17)*(AA826-'Tax Tables'!$A$5:$A$17)*'Tax Tables'!$C$5:$C$17)</f>
        <v>59136</v>
      </c>
      <c r="AC826" s="11" t="n">
        <f aca="false">IF(W826&lt;0,-1E+099,P826-T826-AB826+Y826+(T826+U826)*Calculator!$B$9)</f>
        <v>-1E+099</v>
      </c>
    </row>
    <row r="827" customFormat="false" ht="15" hidden="false" customHeight="false" outlineLevel="0" collapsed="false">
      <c r="A827" s="11" t="n">
        <f aca="false">814*$B$3</f>
        <v>407000</v>
      </c>
      <c r="B827" s="11" t="n">
        <f aca="false">0</f>
        <v>0</v>
      </c>
      <c r="C827" s="11" t="n">
        <f aca="false">A827-B827</f>
        <v>407000</v>
      </c>
      <c r="D827" s="11" t="n">
        <f aca="false">IF(Calculator!$B$6="Yes",MIN(B827,'Tax Tables'!$B$31*'Tax Tables'!$B$32),0)</f>
        <v>0</v>
      </c>
      <c r="E827" s="11" t="n">
        <f aca="false">D827*Calculator!$B$7</f>
        <v>0</v>
      </c>
      <c r="F827" s="11" t="n">
        <f aca="false">D827*Calculator!$B$8</f>
        <v>0</v>
      </c>
      <c r="G827" s="11" t="n">
        <f aca="false">IF(B827&gt;0,'Tax Tables'!$B$32*MIN(MAX(B827/'Tax Tables'!$B$32*'Tax Tables'!$B$33,'Tax Tables'!$B$34),'Tax Tables'!$B$35),0)</f>
        <v>0</v>
      </c>
      <c r="H827" s="11" t="n">
        <f aca="false">Calculator!$B$5-A827-F827-G827</f>
        <v>-7000</v>
      </c>
      <c r="I827" s="11" t="n">
        <f aca="false">'Tax Tables'!$B$22*(MAX(H827,0)-IF(Calculator!$B$10="Yes",MIN(MAX(H827,0),'Tax Tables'!$B$27)*'Tax Tables'!$B$28+MIN(MAX(MAX(H827,0)-'Tax Tables'!$B$27,0),'Tax Tables'!$B$29)*'Tax Tables'!$B$30,MIN(MAX(H827,0),'Tax Tables'!$B$23)*'Tax Tables'!$B$24+MIN(MAX(MAX(H827,0)-'Tax Tables'!$B$23,0),'Tax Tables'!$B$25)*'Tax Tables'!$B$26))*1-MIN('Tax Tables'!$B$22*(MAX(H827,0)-IF(Calculator!$B$10="Yes",MIN(MAX(H827,0),'Tax Tables'!$B$27)*'Tax Tables'!$B$28+MIN(MAX(MAX(H827,0)-'Tax Tables'!$B$27,0),'Tax Tables'!$B$29)*'Tax Tables'!$B$30,MIN(MAX(H827,0),'Tax Tables'!$B$23)*'Tax Tables'!$B$24+MIN(MAX(MAX(H827,0)-'Tax Tables'!$B$23,0),'Tax Tables'!$B$25)*'Tax Tables'!$B$26))*Calculator!$B$11,Calculator!$B$12)</f>
        <v>0</v>
      </c>
      <c r="J827" s="11" t="n">
        <f aca="false">MAX(H827,0)-I827</f>
        <v>0</v>
      </c>
      <c r="K827" s="11" t="n">
        <f aca="false">MIN(IF(A827&gt;0,Calculator!$B$13,0)+E827+Calculator!$B$14,'Tax Tables'!$B$36)</f>
        <v>1000</v>
      </c>
      <c r="L827" s="11" t="n">
        <f aca="false">MAX(A827-K827,0)</f>
        <v>406000</v>
      </c>
      <c r="M827" s="11" t="n">
        <f aca="false">SUMPRODUCT((L827&gt;'Tax Tables'!$A$5:$A$17)*(L827-'Tax Tables'!$A$5:$A$17)*'Tax Tables'!$C$5:$C$17)</f>
        <v>63470</v>
      </c>
      <c r="N827" s="11" t="n">
        <f aca="false">IF(H827&lt;0,-1E+099,A827-E827-M827+J827+(E827+F827)*Calculator!$B$9)</f>
        <v>-1E+099</v>
      </c>
      <c r="O827" s="2"/>
      <c r="P827" s="11" t="n">
        <f aca="false">814*$B$3</f>
        <v>407000</v>
      </c>
      <c r="Q827" s="11" t="n">
        <f aca="false">MIN(P827,'Tax Tables'!$B$31*'Tax Tables'!$B$32)</f>
        <v>96000</v>
      </c>
      <c r="R827" s="11" t="n">
        <f aca="false">P827-Q827</f>
        <v>311000</v>
      </c>
      <c r="S827" s="11" t="n">
        <f aca="false">IF(Calculator!$B$6="Yes",MIN(Q827,'Tax Tables'!$B$31*'Tax Tables'!$B$32),0)</f>
        <v>96000</v>
      </c>
      <c r="T827" s="11" t="n">
        <f aca="false">S827*Calculator!$B$7</f>
        <v>19200</v>
      </c>
      <c r="U827" s="11" t="n">
        <f aca="false">S827*Calculator!$B$8</f>
        <v>16320</v>
      </c>
      <c r="V827" s="11" t="n">
        <f aca="false">IF(Q827&gt;0,'Tax Tables'!$B$32*MIN(MAX(Q827/'Tax Tables'!$B$32*'Tax Tables'!$B$33,'Tax Tables'!$B$34),'Tax Tables'!$B$35),0)</f>
        <v>135</v>
      </c>
      <c r="W827" s="11" t="n">
        <f aca="false">Calculator!$B$5-P827-U827-V827</f>
        <v>-23455</v>
      </c>
      <c r="X827" s="11" t="n">
        <f aca="false">'Tax Tables'!$B$22*(MAX(W827,0)-IF(Calculator!$B$10="Yes",MIN(MAX(W827,0),'Tax Tables'!$B$27)*'Tax Tables'!$B$28+MIN(MAX(MAX(W827,0)-'Tax Tables'!$B$27,0),'Tax Tables'!$B$29)*'Tax Tables'!$B$30,MIN(MAX(W827,0),'Tax Tables'!$B$23)*'Tax Tables'!$B$24+MIN(MAX(MAX(W827,0)-'Tax Tables'!$B$23,0),'Tax Tables'!$B$25)*'Tax Tables'!$B$26))*1-MIN('Tax Tables'!$B$22*(MAX(W827,0)-IF(Calculator!$B$10="Yes",MIN(MAX(W827,0),'Tax Tables'!$B$27)*'Tax Tables'!$B$28+MIN(MAX(MAX(W827,0)-'Tax Tables'!$B$27,0),'Tax Tables'!$B$29)*'Tax Tables'!$B$30,MIN(MAX(W827,0),'Tax Tables'!$B$23)*'Tax Tables'!$B$24+MIN(MAX(MAX(W827,0)-'Tax Tables'!$B$23,0),'Tax Tables'!$B$25)*'Tax Tables'!$B$26))*Calculator!$B$11,Calculator!$B$12)</f>
        <v>0</v>
      </c>
      <c r="Y827" s="11" t="n">
        <f aca="false">MAX(W827,0)-X827</f>
        <v>0</v>
      </c>
      <c r="Z827" s="11" t="n">
        <f aca="false">MIN(IF(P827&gt;0,Calculator!$B$13,0)+T827+Calculator!$B$14,'Tax Tables'!$B$36)</f>
        <v>20200</v>
      </c>
      <c r="AA827" s="11" t="n">
        <f aca="false">MAX(P827-Z827,0)</f>
        <v>386800</v>
      </c>
      <c r="AB827" s="11" t="n">
        <f aca="false">SUMPRODUCT((AA827&gt;'Tax Tables'!$A$5:$A$17)*(AA827-'Tax Tables'!$A$5:$A$17)*'Tax Tables'!$C$5:$C$17)</f>
        <v>59246</v>
      </c>
      <c r="AC827" s="11" t="n">
        <f aca="false">IF(W827&lt;0,-1E+099,P827-T827-AB827+Y827+(T827+U827)*Calculator!$B$9)</f>
        <v>-1E+099</v>
      </c>
    </row>
    <row r="828" customFormat="false" ht="15" hidden="false" customHeight="false" outlineLevel="0" collapsed="false">
      <c r="A828" s="11" t="n">
        <f aca="false">815*$B$3</f>
        <v>407500</v>
      </c>
      <c r="B828" s="11" t="n">
        <f aca="false">0</f>
        <v>0</v>
      </c>
      <c r="C828" s="11" t="n">
        <f aca="false">A828-B828</f>
        <v>407500</v>
      </c>
      <c r="D828" s="11" t="n">
        <f aca="false">IF(Calculator!$B$6="Yes",MIN(B828,'Tax Tables'!$B$31*'Tax Tables'!$B$32),0)</f>
        <v>0</v>
      </c>
      <c r="E828" s="11" t="n">
        <f aca="false">D828*Calculator!$B$7</f>
        <v>0</v>
      </c>
      <c r="F828" s="11" t="n">
        <f aca="false">D828*Calculator!$B$8</f>
        <v>0</v>
      </c>
      <c r="G828" s="11" t="n">
        <f aca="false">IF(B828&gt;0,'Tax Tables'!$B$32*MIN(MAX(B828/'Tax Tables'!$B$32*'Tax Tables'!$B$33,'Tax Tables'!$B$34),'Tax Tables'!$B$35),0)</f>
        <v>0</v>
      </c>
      <c r="H828" s="11" t="n">
        <f aca="false">Calculator!$B$5-A828-F828-G828</f>
        <v>-7500</v>
      </c>
      <c r="I828" s="11" t="n">
        <f aca="false">'Tax Tables'!$B$22*(MAX(H828,0)-IF(Calculator!$B$10="Yes",MIN(MAX(H828,0),'Tax Tables'!$B$27)*'Tax Tables'!$B$28+MIN(MAX(MAX(H828,0)-'Tax Tables'!$B$27,0),'Tax Tables'!$B$29)*'Tax Tables'!$B$30,MIN(MAX(H828,0),'Tax Tables'!$B$23)*'Tax Tables'!$B$24+MIN(MAX(MAX(H828,0)-'Tax Tables'!$B$23,0),'Tax Tables'!$B$25)*'Tax Tables'!$B$26))*1-MIN('Tax Tables'!$B$22*(MAX(H828,0)-IF(Calculator!$B$10="Yes",MIN(MAX(H828,0),'Tax Tables'!$B$27)*'Tax Tables'!$B$28+MIN(MAX(MAX(H828,0)-'Tax Tables'!$B$27,0),'Tax Tables'!$B$29)*'Tax Tables'!$B$30,MIN(MAX(H828,0),'Tax Tables'!$B$23)*'Tax Tables'!$B$24+MIN(MAX(MAX(H828,0)-'Tax Tables'!$B$23,0),'Tax Tables'!$B$25)*'Tax Tables'!$B$26))*Calculator!$B$11,Calculator!$B$12)</f>
        <v>0</v>
      </c>
      <c r="J828" s="11" t="n">
        <f aca="false">MAX(H828,0)-I828</f>
        <v>0</v>
      </c>
      <c r="K828" s="11" t="n">
        <f aca="false">MIN(IF(A828&gt;0,Calculator!$B$13,0)+E828+Calculator!$B$14,'Tax Tables'!$B$36)</f>
        <v>1000</v>
      </c>
      <c r="L828" s="11" t="n">
        <f aca="false">MAX(A828-K828,0)</f>
        <v>406500</v>
      </c>
      <c r="M828" s="11" t="n">
        <f aca="false">SUMPRODUCT((L828&gt;'Tax Tables'!$A$5:$A$17)*(L828-'Tax Tables'!$A$5:$A$17)*'Tax Tables'!$C$5:$C$17)</f>
        <v>63580</v>
      </c>
      <c r="N828" s="11" t="n">
        <f aca="false">IF(H828&lt;0,-1E+099,A828-E828-M828+J828+(E828+F828)*Calculator!$B$9)</f>
        <v>-1E+099</v>
      </c>
      <c r="O828" s="2"/>
      <c r="P828" s="11" t="n">
        <f aca="false">815*$B$3</f>
        <v>407500</v>
      </c>
      <c r="Q828" s="11" t="n">
        <f aca="false">MIN(P828,'Tax Tables'!$B$31*'Tax Tables'!$B$32)</f>
        <v>96000</v>
      </c>
      <c r="R828" s="11" t="n">
        <f aca="false">P828-Q828</f>
        <v>311500</v>
      </c>
      <c r="S828" s="11" t="n">
        <f aca="false">IF(Calculator!$B$6="Yes",MIN(Q828,'Tax Tables'!$B$31*'Tax Tables'!$B$32),0)</f>
        <v>96000</v>
      </c>
      <c r="T828" s="11" t="n">
        <f aca="false">S828*Calculator!$B$7</f>
        <v>19200</v>
      </c>
      <c r="U828" s="11" t="n">
        <f aca="false">S828*Calculator!$B$8</f>
        <v>16320</v>
      </c>
      <c r="V828" s="11" t="n">
        <f aca="false">IF(Q828&gt;0,'Tax Tables'!$B$32*MIN(MAX(Q828/'Tax Tables'!$B$32*'Tax Tables'!$B$33,'Tax Tables'!$B$34),'Tax Tables'!$B$35),0)</f>
        <v>135</v>
      </c>
      <c r="W828" s="11" t="n">
        <f aca="false">Calculator!$B$5-P828-U828-V828</f>
        <v>-23955</v>
      </c>
      <c r="X828" s="11" t="n">
        <f aca="false">'Tax Tables'!$B$22*(MAX(W828,0)-IF(Calculator!$B$10="Yes",MIN(MAX(W828,0),'Tax Tables'!$B$27)*'Tax Tables'!$B$28+MIN(MAX(MAX(W828,0)-'Tax Tables'!$B$27,0),'Tax Tables'!$B$29)*'Tax Tables'!$B$30,MIN(MAX(W828,0),'Tax Tables'!$B$23)*'Tax Tables'!$B$24+MIN(MAX(MAX(W828,0)-'Tax Tables'!$B$23,0),'Tax Tables'!$B$25)*'Tax Tables'!$B$26))*1-MIN('Tax Tables'!$B$22*(MAX(W828,0)-IF(Calculator!$B$10="Yes",MIN(MAX(W828,0),'Tax Tables'!$B$27)*'Tax Tables'!$B$28+MIN(MAX(MAX(W828,0)-'Tax Tables'!$B$27,0),'Tax Tables'!$B$29)*'Tax Tables'!$B$30,MIN(MAX(W828,0),'Tax Tables'!$B$23)*'Tax Tables'!$B$24+MIN(MAX(MAX(W828,0)-'Tax Tables'!$B$23,0),'Tax Tables'!$B$25)*'Tax Tables'!$B$26))*Calculator!$B$11,Calculator!$B$12)</f>
        <v>0</v>
      </c>
      <c r="Y828" s="11" t="n">
        <f aca="false">MAX(W828,0)-X828</f>
        <v>0</v>
      </c>
      <c r="Z828" s="11" t="n">
        <f aca="false">MIN(IF(P828&gt;0,Calculator!$B$13,0)+T828+Calculator!$B$14,'Tax Tables'!$B$36)</f>
        <v>20200</v>
      </c>
      <c r="AA828" s="11" t="n">
        <f aca="false">MAX(P828-Z828,0)</f>
        <v>387300</v>
      </c>
      <c r="AB828" s="11" t="n">
        <f aca="false">SUMPRODUCT((AA828&gt;'Tax Tables'!$A$5:$A$17)*(AA828-'Tax Tables'!$A$5:$A$17)*'Tax Tables'!$C$5:$C$17)</f>
        <v>59356</v>
      </c>
      <c r="AC828" s="11" t="n">
        <f aca="false">IF(W828&lt;0,-1E+099,P828-T828-AB828+Y828+(T828+U828)*Calculator!$B$9)</f>
        <v>-1E+099</v>
      </c>
    </row>
    <row r="829" customFormat="false" ht="15" hidden="false" customHeight="false" outlineLevel="0" collapsed="false">
      <c r="A829" s="11" t="n">
        <f aca="false">816*$B$3</f>
        <v>408000</v>
      </c>
      <c r="B829" s="11" t="n">
        <f aca="false">0</f>
        <v>0</v>
      </c>
      <c r="C829" s="11" t="n">
        <f aca="false">A829-B829</f>
        <v>408000</v>
      </c>
      <c r="D829" s="11" t="n">
        <f aca="false">IF(Calculator!$B$6="Yes",MIN(B829,'Tax Tables'!$B$31*'Tax Tables'!$B$32),0)</f>
        <v>0</v>
      </c>
      <c r="E829" s="11" t="n">
        <f aca="false">D829*Calculator!$B$7</f>
        <v>0</v>
      </c>
      <c r="F829" s="11" t="n">
        <f aca="false">D829*Calculator!$B$8</f>
        <v>0</v>
      </c>
      <c r="G829" s="11" t="n">
        <f aca="false">IF(B829&gt;0,'Tax Tables'!$B$32*MIN(MAX(B829/'Tax Tables'!$B$32*'Tax Tables'!$B$33,'Tax Tables'!$B$34),'Tax Tables'!$B$35),0)</f>
        <v>0</v>
      </c>
      <c r="H829" s="11" t="n">
        <f aca="false">Calculator!$B$5-A829-F829-G829</f>
        <v>-8000</v>
      </c>
      <c r="I829" s="11" t="n">
        <f aca="false">'Tax Tables'!$B$22*(MAX(H829,0)-IF(Calculator!$B$10="Yes",MIN(MAX(H829,0),'Tax Tables'!$B$27)*'Tax Tables'!$B$28+MIN(MAX(MAX(H829,0)-'Tax Tables'!$B$27,0),'Tax Tables'!$B$29)*'Tax Tables'!$B$30,MIN(MAX(H829,0),'Tax Tables'!$B$23)*'Tax Tables'!$B$24+MIN(MAX(MAX(H829,0)-'Tax Tables'!$B$23,0),'Tax Tables'!$B$25)*'Tax Tables'!$B$26))*1-MIN('Tax Tables'!$B$22*(MAX(H829,0)-IF(Calculator!$B$10="Yes",MIN(MAX(H829,0),'Tax Tables'!$B$27)*'Tax Tables'!$B$28+MIN(MAX(MAX(H829,0)-'Tax Tables'!$B$27,0),'Tax Tables'!$B$29)*'Tax Tables'!$B$30,MIN(MAX(H829,0),'Tax Tables'!$B$23)*'Tax Tables'!$B$24+MIN(MAX(MAX(H829,0)-'Tax Tables'!$B$23,0),'Tax Tables'!$B$25)*'Tax Tables'!$B$26))*Calculator!$B$11,Calculator!$B$12)</f>
        <v>0</v>
      </c>
      <c r="J829" s="11" t="n">
        <f aca="false">MAX(H829,0)-I829</f>
        <v>0</v>
      </c>
      <c r="K829" s="11" t="n">
        <f aca="false">MIN(IF(A829&gt;0,Calculator!$B$13,0)+E829+Calculator!$B$14,'Tax Tables'!$B$36)</f>
        <v>1000</v>
      </c>
      <c r="L829" s="11" t="n">
        <f aca="false">MAX(A829-K829,0)</f>
        <v>407000</v>
      </c>
      <c r="M829" s="11" t="n">
        <f aca="false">SUMPRODUCT((L829&gt;'Tax Tables'!$A$5:$A$17)*(L829-'Tax Tables'!$A$5:$A$17)*'Tax Tables'!$C$5:$C$17)</f>
        <v>63690</v>
      </c>
      <c r="N829" s="11" t="n">
        <f aca="false">IF(H829&lt;0,-1E+099,A829-E829-M829+J829+(E829+F829)*Calculator!$B$9)</f>
        <v>-1E+099</v>
      </c>
      <c r="O829" s="2"/>
      <c r="P829" s="11" t="n">
        <f aca="false">816*$B$3</f>
        <v>408000</v>
      </c>
      <c r="Q829" s="11" t="n">
        <f aca="false">MIN(P829,'Tax Tables'!$B$31*'Tax Tables'!$B$32)</f>
        <v>96000</v>
      </c>
      <c r="R829" s="11" t="n">
        <f aca="false">P829-Q829</f>
        <v>312000</v>
      </c>
      <c r="S829" s="11" t="n">
        <f aca="false">IF(Calculator!$B$6="Yes",MIN(Q829,'Tax Tables'!$B$31*'Tax Tables'!$B$32),0)</f>
        <v>96000</v>
      </c>
      <c r="T829" s="11" t="n">
        <f aca="false">S829*Calculator!$B$7</f>
        <v>19200</v>
      </c>
      <c r="U829" s="11" t="n">
        <f aca="false">S829*Calculator!$B$8</f>
        <v>16320</v>
      </c>
      <c r="V829" s="11" t="n">
        <f aca="false">IF(Q829&gt;0,'Tax Tables'!$B$32*MIN(MAX(Q829/'Tax Tables'!$B$32*'Tax Tables'!$B$33,'Tax Tables'!$B$34),'Tax Tables'!$B$35),0)</f>
        <v>135</v>
      </c>
      <c r="W829" s="11" t="n">
        <f aca="false">Calculator!$B$5-P829-U829-V829</f>
        <v>-24455</v>
      </c>
      <c r="X829" s="11" t="n">
        <f aca="false">'Tax Tables'!$B$22*(MAX(W829,0)-IF(Calculator!$B$10="Yes",MIN(MAX(W829,0),'Tax Tables'!$B$27)*'Tax Tables'!$B$28+MIN(MAX(MAX(W829,0)-'Tax Tables'!$B$27,0),'Tax Tables'!$B$29)*'Tax Tables'!$B$30,MIN(MAX(W829,0),'Tax Tables'!$B$23)*'Tax Tables'!$B$24+MIN(MAX(MAX(W829,0)-'Tax Tables'!$B$23,0),'Tax Tables'!$B$25)*'Tax Tables'!$B$26))*1-MIN('Tax Tables'!$B$22*(MAX(W829,0)-IF(Calculator!$B$10="Yes",MIN(MAX(W829,0),'Tax Tables'!$B$27)*'Tax Tables'!$B$28+MIN(MAX(MAX(W829,0)-'Tax Tables'!$B$27,0),'Tax Tables'!$B$29)*'Tax Tables'!$B$30,MIN(MAX(W829,0),'Tax Tables'!$B$23)*'Tax Tables'!$B$24+MIN(MAX(MAX(W829,0)-'Tax Tables'!$B$23,0),'Tax Tables'!$B$25)*'Tax Tables'!$B$26))*Calculator!$B$11,Calculator!$B$12)</f>
        <v>0</v>
      </c>
      <c r="Y829" s="11" t="n">
        <f aca="false">MAX(W829,0)-X829</f>
        <v>0</v>
      </c>
      <c r="Z829" s="11" t="n">
        <f aca="false">MIN(IF(P829&gt;0,Calculator!$B$13,0)+T829+Calculator!$B$14,'Tax Tables'!$B$36)</f>
        <v>20200</v>
      </c>
      <c r="AA829" s="11" t="n">
        <f aca="false">MAX(P829-Z829,0)</f>
        <v>387800</v>
      </c>
      <c r="AB829" s="11" t="n">
        <f aca="false">SUMPRODUCT((AA829&gt;'Tax Tables'!$A$5:$A$17)*(AA829-'Tax Tables'!$A$5:$A$17)*'Tax Tables'!$C$5:$C$17)</f>
        <v>59466</v>
      </c>
      <c r="AC829" s="11" t="n">
        <f aca="false">IF(W829&lt;0,-1E+099,P829-T829-AB829+Y829+(T829+U829)*Calculator!$B$9)</f>
        <v>-1E+099</v>
      </c>
    </row>
    <row r="830" customFormat="false" ht="15" hidden="false" customHeight="false" outlineLevel="0" collapsed="false">
      <c r="A830" s="11" t="n">
        <f aca="false">817*$B$3</f>
        <v>408500</v>
      </c>
      <c r="B830" s="11" t="n">
        <f aca="false">0</f>
        <v>0</v>
      </c>
      <c r="C830" s="11" t="n">
        <f aca="false">A830-B830</f>
        <v>408500</v>
      </c>
      <c r="D830" s="11" t="n">
        <f aca="false">IF(Calculator!$B$6="Yes",MIN(B830,'Tax Tables'!$B$31*'Tax Tables'!$B$32),0)</f>
        <v>0</v>
      </c>
      <c r="E830" s="11" t="n">
        <f aca="false">D830*Calculator!$B$7</f>
        <v>0</v>
      </c>
      <c r="F830" s="11" t="n">
        <f aca="false">D830*Calculator!$B$8</f>
        <v>0</v>
      </c>
      <c r="G830" s="11" t="n">
        <f aca="false">IF(B830&gt;0,'Tax Tables'!$B$32*MIN(MAX(B830/'Tax Tables'!$B$32*'Tax Tables'!$B$33,'Tax Tables'!$B$34),'Tax Tables'!$B$35),0)</f>
        <v>0</v>
      </c>
      <c r="H830" s="11" t="n">
        <f aca="false">Calculator!$B$5-A830-F830-G830</f>
        <v>-8500</v>
      </c>
      <c r="I830" s="11" t="n">
        <f aca="false">'Tax Tables'!$B$22*(MAX(H830,0)-IF(Calculator!$B$10="Yes",MIN(MAX(H830,0),'Tax Tables'!$B$27)*'Tax Tables'!$B$28+MIN(MAX(MAX(H830,0)-'Tax Tables'!$B$27,0),'Tax Tables'!$B$29)*'Tax Tables'!$B$30,MIN(MAX(H830,0),'Tax Tables'!$B$23)*'Tax Tables'!$B$24+MIN(MAX(MAX(H830,0)-'Tax Tables'!$B$23,0),'Tax Tables'!$B$25)*'Tax Tables'!$B$26))*1-MIN('Tax Tables'!$B$22*(MAX(H830,0)-IF(Calculator!$B$10="Yes",MIN(MAX(H830,0),'Tax Tables'!$B$27)*'Tax Tables'!$B$28+MIN(MAX(MAX(H830,0)-'Tax Tables'!$B$27,0),'Tax Tables'!$B$29)*'Tax Tables'!$B$30,MIN(MAX(H830,0),'Tax Tables'!$B$23)*'Tax Tables'!$B$24+MIN(MAX(MAX(H830,0)-'Tax Tables'!$B$23,0),'Tax Tables'!$B$25)*'Tax Tables'!$B$26))*Calculator!$B$11,Calculator!$B$12)</f>
        <v>0</v>
      </c>
      <c r="J830" s="11" t="n">
        <f aca="false">MAX(H830,0)-I830</f>
        <v>0</v>
      </c>
      <c r="K830" s="11" t="n">
        <f aca="false">MIN(IF(A830&gt;0,Calculator!$B$13,0)+E830+Calculator!$B$14,'Tax Tables'!$B$36)</f>
        <v>1000</v>
      </c>
      <c r="L830" s="11" t="n">
        <f aca="false">MAX(A830-K830,0)</f>
        <v>407500</v>
      </c>
      <c r="M830" s="11" t="n">
        <f aca="false">SUMPRODUCT((L830&gt;'Tax Tables'!$A$5:$A$17)*(L830-'Tax Tables'!$A$5:$A$17)*'Tax Tables'!$C$5:$C$17)</f>
        <v>63800</v>
      </c>
      <c r="N830" s="11" t="n">
        <f aca="false">IF(H830&lt;0,-1E+099,A830-E830-M830+J830+(E830+F830)*Calculator!$B$9)</f>
        <v>-1E+099</v>
      </c>
      <c r="O830" s="2"/>
      <c r="P830" s="11" t="n">
        <f aca="false">817*$B$3</f>
        <v>408500</v>
      </c>
      <c r="Q830" s="11" t="n">
        <f aca="false">MIN(P830,'Tax Tables'!$B$31*'Tax Tables'!$B$32)</f>
        <v>96000</v>
      </c>
      <c r="R830" s="11" t="n">
        <f aca="false">P830-Q830</f>
        <v>312500</v>
      </c>
      <c r="S830" s="11" t="n">
        <f aca="false">IF(Calculator!$B$6="Yes",MIN(Q830,'Tax Tables'!$B$31*'Tax Tables'!$B$32),0)</f>
        <v>96000</v>
      </c>
      <c r="T830" s="11" t="n">
        <f aca="false">S830*Calculator!$B$7</f>
        <v>19200</v>
      </c>
      <c r="U830" s="11" t="n">
        <f aca="false">S830*Calculator!$B$8</f>
        <v>16320</v>
      </c>
      <c r="V830" s="11" t="n">
        <f aca="false">IF(Q830&gt;0,'Tax Tables'!$B$32*MIN(MAX(Q830/'Tax Tables'!$B$32*'Tax Tables'!$B$33,'Tax Tables'!$B$34),'Tax Tables'!$B$35),0)</f>
        <v>135</v>
      </c>
      <c r="W830" s="11" t="n">
        <f aca="false">Calculator!$B$5-P830-U830-V830</f>
        <v>-24955</v>
      </c>
      <c r="X830" s="11" t="n">
        <f aca="false">'Tax Tables'!$B$22*(MAX(W830,0)-IF(Calculator!$B$10="Yes",MIN(MAX(W830,0),'Tax Tables'!$B$27)*'Tax Tables'!$B$28+MIN(MAX(MAX(W830,0)-'Tax Tables'!$B$27,0),'Tax Tables'!$B$29)*'Tax Tables'!$B$30,MIN(MAX(W830,0),'Tax Tables'!$B$23)*'Tax Tables'!$B$24+MIN(MAX(MAX(W830,0)-'Tax Tables'!$B$23,0),'Tax Tables'!$B$25)*'Tax Tables'!$B$26))*1-MIN('Tax Tables'!$B$22*(MAX(W830,0)-IF(Calculator!$B$10="Yes",MIN(MAX(W830,0),'Tax Tables'!$B$27)*'Tax Tables'!$B$28+MIN(MAX(MAX(W830,0)-'Tax Tables'!$B$27,0),'Tax Tables'!$B$29)*'Tax Tables'!$B$30,MIN(MAX(W830,0),'Tax Tables'!$B$23)*'Tax Tables'!$B$24+MIN(MAX(MAX(W830,0)-'Tax Tables'!$B$23,0),'Tax Tables'!$B$25)*'Tax Tables'!$B$26))*Calculator!$B$11,Calculator!$B$12)</f>
        <v>0</v>
      </c>
      <c r="Y830" s="11" t="n">
        <f aca="false">MAX(W830,0)-X830</f>
        <v>0</v>
      </c>
      <c r="Z830" s="11" t="n">
        <f aca="false">MIN(IF(P830&gt;0,Calculator!$B$13,0)+T830+Calculator!$B$14,'Tax Tables'!$B$36)</f>
        <v>20200</v>
      </c>
      <c r="AA830" s="11" t="n">
        <f aca="false">MAX(P830-Z830,0)</f>
        <v>388300</v>
      </c>
      <c r="AB830" s="11" t="n">
        <f aca="false">SUMPRODUCT((AA830&gt;'Tax Tables'!$A$5:$A$17)*(AA830-'Tax Tables'!$A$5:$A$17)*'Tax Tables'!$C$5:$C$17)</f>
        <v>59576</v>
      </c>
      <c r="AC830" s="11" t="n">
        <f aca="false">IF(W830&lt;0,-1E+099,P830-T830-AB830+Y830+(T830+U830)*Calculator!$B$9)</f>
        <v>-1E+099</v>
      </c>
    </row>
    <row r="831" customFormat="false" ht="15" hidden="false" customHeight="false" outlineLevel="0" collapsed="false">
      <c r="A831" s="11" t="n">
        <f aca="false">818*$B$3</f>
        <v>409000</v>
      </c>
      <c r="B831" s="11" t="n">
        <f aca="false">0</f>
        <v>0</v>
      </c>
      <c r="C831" s="11" t="n">
        <f aca="false">A831-B831</f>
        <v>409000</v>
      </c>
      <c r="D831" s="11" t="n">
        <f aca="false">IF(Calculator!$B$6="Yes",MIN(B831,'Tax Tables'!$B$31*'Tax Tables'!$B$32),0)</f>
        <v>0</v>
      </c>
      <c r="E831" s="11" t="n">
        <f aca="false">D831*Calculator!$B$7</f>
        <v>0</v>
      </c>
      <c r="F831" s="11" t="n">
        <f aca="false">D831*Calculator!$B$8</f>
        <v>0</v>
      </c>
      <c r="G831" s="11" t="n">
        <f aca="false">IF(B831&gt;0,'Tax Tables'!$B$32*MIN(MAX(B831/'Tax Tables'!$B$32*'Tax Tables'!$B$33,'Tax Tables'!$B$34),'Tax Tables'!$B$35),0)</f>
        <v>0</v>
      </c>
      <c r="H831" s="11" t="n">
        <f aca="false">Calculator!$B$5-A831-F831-G831</f>
        <v>-9000</v>
      </c>
      <c r="I831" s="11" t="n">
        <f aca="false">'Tax Tables'!$B$22*(MAX(H831,0)-IF(Calculator!$B$10="Yes",MIN(MAX(H831,0),'Tax Tables'!$B$27)*'Tax Tables'!$B$28+MIN(MAX(MAX(H831,0)-'Tax Tables'!$B$27,0),'Tax Tables'!$B$29)*'Tax Tables'!$B$30,MIN(MAX(H831,0),'Tax Tables'!$B$23)*'Tax Tables'!$B$24+MIN(MAX(MAX(H831,0)-'Tax Tables'!$B$23,0),'Tax Tables'!$B$25)*'Tax Tables'!$B$26))*1-MIN('Tax Tables'!$B$22*(MAX(H831,0)-IF(Calculator!$B$10="Yes",MIN(MAX(H831,0),'Tax Tables'!$B$27)*'Tax Tables'!$B$28+MIN(MAX(MAX(H831,0)-'Tax Tables'!$B$27,0),'Tax Tables'!$B$29)*'Tax Tables'!$B$30,MIN(MAX(H831,0),'Tax Tables'!$B$23)*'Tax Tables'!$B$24+MIN(MAX(MAX(H831,0)-'Tax Tables'!$B$23,0),'Tax Tables'!$B$25)*'Tax Tables'!$B$26))*Calculator!$B$11,Calculator!$B$12)</f>
        <v>0</v>
      </c>
      <c r="J831" s="11" t="n">
        <f aca="false">MAX(H831,0)-I831</f>
        <v>0</v>
      </c>
      <c r="K831" s="11" t="n">
        <f aca="false">MIN(IF(A831&gt;0,Calculator!$B$13,0)+E831+Calculator!$B$14,'Tax Tables'!$B$36)</f>
        <v>1000</v>
      </c>
      <c r="L831" s="11" t="n">
        <f aca="false">MAX(A831-K831,0)</f>
        <v>408000</v>
      </c>
      <c r="M831" s="11" t="n">
        <f aca="false">SUMPRODUCT((L831&gt;'Tax Tables'!$A$5:$A$17)*(L831-'Tax Tables'!$A$5:$A$17)*'Tax Tables'!$C$5:$C$17)</f>
        <v>63910</v>
      </c>
      <c r="N831" s="11" t="n">
        <f aca="false">IF(H831&lt;0,-1E+099,A831-E831-M831+J831+(E831+F831)*Calculator!$B$9)</f>
        <v>-1E+099</v>
      </c>
      <c r="O831" s="2"/>
      <c r="P831" s="11" t="n">
        <f aca="false">818*$B$3</f>
        <v>409000</v>
      </c>
      <c r="Q831" s="11" t="n">
        <f aca="false">MIN(P831,'Tax Tables'!$B$31*'Tax Tables'!$B$32)</f>
        <v>96000</v>
      </c>
      <c r="R831" s="11" t="n">
        <f aca="false">P831-Q831</f>
        <v>313000</v>
      </c>
      <c r="S831" s="11" t="n">
        <f aca="false">IF(Calculator!$B$6="Yes",MIN(Q831,'Tax Tables'!$B$31*'Tax Tables'!$B$32),0)</f>
        <v>96000</v>
      </c>
      <c r="T831" s="11" t="n">
        <f aca="false">S831*Calculator!$B$7</f>
        <v>19200</v>
      </c>
      <c r="U831" s="11" t="n">
        <f aca="false">S831*Calculator!$B$8</f>
        <v>16320</v>
      </c>
      <c r="V831" s="11" t="n">
        <f aca="false">IF(Q831&gt;0,'Tax Tables'!$B$32*MIN(MAX(Q831/'Tax Tables'!$B$32*'Tax Tables'!$B$33,'Tax Tables'!$B$34),'Tax Tables'!$B$35),0)</f>
        <v>135</v>
      </c>
      <c r="W831" s="11" t="n">
        <f aca="false">Calculator!$B$5-P831-U831-V831</f>
        <v>-25455</v>
      </c>
      <c r="X831" s="11" t="n">
        <f aca="false">'Tax Tables'!$B$22*(MAX(W831,0)-IF(Calculator!$B$10="Yes",MIN(MAX(W831,0),'Tax Tables'!$B$27)*'Tax Tables'!$B$28+MIN(MAX(MAX(W831,0)-'Tax Tables'!$B$27,0),'Tax Tables'!$B$29)*'Tax Tables'!$B$30,MIN(MAX(W831,0),'Tax Tables'!$B$23)*'Tax Tables'!$B$24+MIN(MAX(MAX(W831,0)-'Tax Tables'!$B$23,0),'Tax Tables'!$B$25)*'Tax Tables'!$B$26))*1-MIN('Tax Tables'!$B$22*(MAX(W831,0)-IF(Calculator!$B$10="Yes",MIN(MAX(W831,0),'Tax Tables'!$B$27)*'Tax Tables'!$B$28+MIN(MAX(MAX(W831,0)-'Tax Tables'!$B$27,0),'Tax Tables'!$B$29)*'Tax Tables'!$B$30,MIN(MAX(W831,0),'Tax Tables'!$B$23)*'Tax Tables'!$B$24+MIN(MAX(MAX(W831,0)-'Tax Tables'!$B$23,0),'Tax Tables'!$B$25)*'Tax Tables'!$B$26))*Calculator!$B$11,Calculator!$B$12)</f>
        <v>0</v>
      </c>
      <c r="Y831" s="11" t="n">
        <f aca="false">MAX(W831,0)-X831</f>
        <v>0</v>
      </c>
      <c r="Z831" s="11" t="n">
        <f aca="false">MIN(IF(P831&gt;0,Calculator!$B$13,0)+T831+Calculator!$B$14,'Tax Tables'!$B$36)</f>
        <v>20200</v>
      </c>
      <c r="AA831" s="11" t="n">
        <f aca="false">MAX(P831-Z831,0)</f>
        <v>388800</v>
      </c>
      <c r="AB831" s="11" t="n">
        <f aca="false">SUMPRODUCT((AA831&gt;'Tax Tables'!$A$5:$A$17)*(AA831-'Tax Tables'!$A$5:$A$17)*'Tax Tables'!$C$5:$C$17)</f>
        <v>59686</v>
      </c>
      <c r="AC831" s="11" t="n">
        <f aca="false">IF(W831&lt;0,-1E+099,P831-T831-AB831+Y831+(T831+U831)*Calculator!$B$9)</f>
        <v>-1E+099</v>
      </c>
    </row>
    <row r="832" customFormat="false" ht="15" hidden="false" customHeight="false" outlineLevel="0" collapsed="false">
      <c r="A832" s="11" t="n">
        <f aca="false">819*$B$3</f>
        <v>409500</v>
      </c>
      <c r="B832" s="11" t="n">
        <f aca="false">0</f>
        <v>0</v>
      </c>
      <c r="C832" s="11" t="n">
        <f aca="false">A832-B832</f>
        <v>409500</v>
      </c>
      <c r="D832" s="11" t="n">
        <f aca="false">IF(Calculator!$B$6="Yes",MIN(B832,'Tax Tables'!$B$31*'Tax Tables'!$B$32),0)</f>
        <v>0</v>
      </c>
      <c r="E832" s="11" t="n">
        <f aca="false">D832*Calculator!$B$7</f>
        <v>0</v>
      </c>
      <c r="F832" s="11" t="n">
        <f aca="false">D832*Calculator!$B$8</f>
        <v>0</v>
      </c>
      <c r="G832" s="11" t="n">
        <f aca="false">IF(B832&gt;0,'Tax Tables'!$B$32*MIN(MAX(B832/'Tax Tables'!$B$32*'Tax Tables'!$B$33,'Tax Tables'!$B$34),'Tax Tables'!$B$35),0)</f>
        <v>0</v>
      </c>
      <c r="H832" s="11" t="n">
        <f aca="false">Calculator!$B$5-A832-F832-G832</f>
        <v>-9500</v>
      </c>
      <c r="I832" s="11" t="n">
        <f aca="false">'Tax Tables'!$B$22*(MAX(H832,0)-IF(Calculator!$B$10="Yes",MIN(MAX(H832,0),'Tax Tables'!$B$27)*'Tax Tables'!$B$28+MIN(MAX(MAX(H832,0)-'Tax Tables'!$B$27,0),'Tax Tables'!$B$29)*'Tax Tables'!$B$30,MIN(MAX(H832,0),'Tax Tables'!$B$23)*'Tax Tables'!$B$24+MIN(MAX(MAX(H832,0)-'Tax Tables'!$B$23,0),'Tax Tables'!$B$25)*'Tax Tables'!$B$26))*1-MIN('Tax Tables'!$B$22*(MAX(H832,0)-IF(Calculator!$B$10="Yes",MIN(MAX(H832,0),'Tax Tables'!$B$27)*'Tax Tables'!$B$28+MIN(MAX(MAX(H832,0)-'Tax Tables'!$B$27,0),'Tax Tables'!$B$29)*'Tax Tables'!$B$30,MIN(MAX(H832,0),'Tax Tables'!$B$23)*'Tax Tables'!$B$24+MIN(MAX(MAX(H832,0)-'Tax Tables'!$B$23,0),'Tax Tables'!$B$25)*'Tax Tables'!$B$26))*Calculator!$B$11,Calculator!$B$12)</f>
        <v>0</v>
      </c>
      <c r="J832" s="11" t="n">
        <f aca="false">MAX(H832,0)-I832</f>
        <v>0</v>
      </c>
      <c r="K832" s="11" t="n">
        <f aca="false">MIN(IF(A832&gt;0,Calculator!$B$13,0)+E832+Calculator!$B$14,'Tax Tables'!$B$36)</f>
        <v>1000</v>
      </c>
      <c r="L832" s="11" t="n">
        <f aca="false">MAX(A832-K832,0)</f>
        <v>408500</v>
      </c>
      <c r="M832" s="11" t="n">
        <f aca="false">SUMPRODUCT((L832&gt;'Tax Tables'!$A$5:$A$17)*(L832-'Tax Tables'!$A$5:$A$17)*'Tax Tables'!$C$5:$C$17)</f>
        <v>64020</v>
      </c>
      <c r="N832" s="11" t="n">
        <f aca="false">IF(H832&lt;0,-1E+099,A832-E832-M832+J832+(E832+F832)*Calculator!$B$9)</f>
        <v>-1E+099</v>
      </c>
      <c r="O832" s="2"/>
      <c r="P832" s="11" t="n">
        <f aca="false">819*$B$3</f>
        <v>409500</v>
      </c>
      <c r="Q832" s="11" t="n">
        <f aca="false">MIN(P832,'Tax Tables'!$B$31*'Tax Tables'!$B$32)</f>
        <v>96000</v>
      </c>
      <c r="R832" s="11" t="n">
        <f aca="false">P832-Q832</f>
        <v>313500</v>
      </c>
      <c r="S832" s="11" t="n">
        <f aca="false">IF(Calculator!$B$6="Yes",MIN(Q832,'Tax Tables'!$B$31*'Tax Tables'!$B$32),0)</f>
        <v>96000</v>
      </c>
      <c r="T832" s="11" t="n">
        <f aca="false">S832*Calculator!$B$7</f>
        <v>19200</v>
      </c>
      <c r="U832" s="11" t="n">
        <f aca="false">S832*Calculator!$B$8</f>
        <v>16320</v>
      </c>
      <c r="V832" s="11" t="n">
        <f aca="false">IF(Q832&gt;0,'Tax Tables'!$B$32*MIN(MAX(Q832/'Tax Tables'!$B$32*'Tax Tables'!$B$33,'Tax Tables'!$B$34),'Tax Tables'!$B$35),0)</f>
        <v>135</v>
      </c>
      <c r="W832" s="11" t="n">
        <f aca="false">Calculator!$B$5-P832-U832-V832</f>
        <v>-25955</v>
      </c>
      <c r="X832" s="11" t="n">
        <f aca="false">'Tax Tables'!$B$22*(MAX(W832,0)-IF(Calculator!$B$10="Yes",MIN(MAX(W832,0),'Tax Tables'!$B$27)*'Tax Tables'!$B$28+MIN(MAX(MAX(W832,0)-'Tax Tables'!$B$27,0),'Tax Tables'!$B$29)*'Tax Tables'!$B$30,MIN(MAX(W832,0),'Tax Tables'!$B$23)*'Tax Tables'!$B$24+MIN(MAX(MAX(W832,0)-'Tax Tables'!$B$23,0),'Tax Tables'!$B$25)*'Tax Tables'!$B$26))*1-MIN('Tax Tables'!$B$22*(MAX(W832,0)-IF(Calculator!$B$10="Yes",MIN(MAX(W832,0),'Tax Tables'!$B$27)*'Tax Tables'!$B$28+MIN(MAX(MAX(W832,0)-'Tax Tables'!$B$27,0),'Tax Tables'!$B$29)*'Tax Tables'!$B$30,MIN(MAX(W832,0),'Tax Tables'!$B$23)*'Tax Tables'!$B$24+MIN(MAX(MAX(W832,0)-'Tax Tables'!$B$23,0),'Tax Tables'!$B$25)*'Tax Tables'!$B$26))*Calculator!$B$11,Calculator!$B$12)</f>
        <v>0</v>
      </c>
      <c r="Y832" s="11" t="n">
        <f aca="false">MAX(W832,0)-X832</f>
        <v>0</v>
      </c>
      <c r="Z832" s="11" t="n">
        <f aca="false">MIN(IF(P832&gt;0,Calculator!$B$13,0)+T832+Calculator!$B$14,'Tax Tables'!$B$36)</f>
        <v>20200</v>
      </c>
      <c r="AA832" s="11" t="n">
        <f aca="false">MAX(P832-Z832,0)</f>
        <v>389300</v>
      </c>
      <c r="AB832" s="11" t="n">
        <f aca="false">SUMPRODUCT((AA832&gt;'Tax Tables'!$A$5:$A$17)*(AA832-'Tax Tables'!$A$5:$A$17)*'Tax Tables'!$C$5:$C$17)</f>
        <v>59796</v>
      </c>
      <c r="AC832" s="11" t="n">
        <f aca="false">IF(W832&lt;0,-1E+099,P832-T832-AB832+Y832+(T832+U832)*Calculator!$B$9)</f>
        <v>-1E+099</v>
      </c>
    </row>
    <row r="833" customFormat="false" ht="15" hidden="false" customHeight="false" outlineLevel="0" collapsed="false">
      <c r="A833" s="11" t="n">
        <f aca="false">820*$B$3</f>
        <v>410000</v>
      </c>
      <c r="B833" s="11" t="n">
        <f aca="false">0</f>
        <v>0</v>
      </c>
      <c r="C833" s="11" t="n">
        <f aca="false">A833-B833</f>
        <v>410000</v>
      </c>
      <c r="D833" s="11" t="n">
        <f aca="false">IF(Calculator!$B$6="Yes",MIN(B833,'Tax Tables'!$B$31*'Tax Tables'!$B$32),0)</f>
        <v>0</v>
      </c>
      <c r="E833" s="11" t="n">
        <f aca="false">D833*Calculator!$B$7</f>
        <v>0</v>
      </c>
      <c r="F833" s="11" t="n">
        <f aca="false">D833*Calculator!$B$8</f>
        <v>0</v>
      </c>
      <c r="G833" s="11" t="n">
        <f aca="false">IF(B833&gt;0,'Tax Tables'!$B$32*MIN(MAX(B833/'Tax Tables'!$B$32*'Tax Tables'!$B$33,'Tax Tables'!$B$34),'Tax Tables'!$B$35),0)</f>
        <v>0</v>
      </c>
      <c r="H833" s="11" t="n">
        <f aca="false">Calculator!$B$5-A833-F833-G833</f>
        <v>-10000</v>
      </c>
      <c r="I833" s="11" t="n">
        <f aca="false">'Tax Tables'!$B$22*(MAX(H833,0)-IF(Calculator!$B$10="Yes",MIN(MAX(H833,0),'Tax Tables'!$B$27)*'Tax Tables'!$B$28+MIN(MAX(MAX(H833,0)-'Tax Tables'!$B$27,0),'Tax Tables'!$B$29)*'Tax Tables'!$B$30,MIN(MAX(H833,0),'Tax Tables'!$B$23)*'Tax Tables'!$B$24+MIN(MAX(MAX(H833,0)-'Tax Tables'!$B$23,0),'Tax Tables'!$B$25)*'Tax Tables'!$B$26))*1-MIN('Tax Tables'!$B$22*(MAX(H833,0)-IF(Calculator!$B$10="Yes",MIN(MAX(H833,0),'Tax Tables'!$B$27)*'Tax Tables'!$B$28+MIN(MAX(MAX(H833,0)-'Tax Tables'!$B$27,0),'Tax Tables'!$B$29)*'Tax Tables'!$B$30,MIN(MAX(H833,0),'Tax Tables'!$B$23)*'Tax Tables'!$B$24+MIN(MAX(MAX(H833,0)-'Tax Tables'!$B$23,0),'Tax Tables'!$B$25)*'Tax Tables'!$B$26))*Calculator!$B$11,Calculator!$B$12)</f>
        <v>0</v>
      </c>
      <c r="J833" s="11" t="n">
        <f aca="false">MAX(H833,0)-I833</f>
        <v>0</v>
      </c>
      <c r="K833" s="11" t="n">
        <f aca="false">MIN(IF(A833&gt;0,Calculator!$B$13,0)+E833+Calculator!$B$14,'Tax Tables'!$B$36)</f>
        <v>1000</v>
      </c>
      <c r="L833" s="11" t="n">
        <f aca="false">MAX(A833-K833,0)</f>
        <v>409000</v>
      </c>
      <c r="M833" s="11" t="n">
        <f aca="false">SUMPRODUCT((L833&gt;'Tax Tables'!$A$5:$A$17)*(L833-'Tax Tables'!$A$5:$A$17)*'Tax Tables'!$C$5:$C$17)</f>
        <v>64130</v>
      </c>
      <c r="N833" s="11" t="n">
        <f aca="false">IF(H833&lt;0,-1E+099,A833-E833-M833+J833+(E833+F833)*Calculator!$B$9)</f>
        <v>-1E+099</v>
      </c>
      <c r="O833" s="2"/>
      <c r="P833" s="11" t="n">
        <f aca="false">820*$B$3</f>
        <v>410000</v>
      </c>
      <c r="Q833" s="11" t="n">
        <f aca="false">MIN(P833,'Tax Tables'!$B$31*'Tax Tables'!$B$32)</f>
        <v>96000</v>
      </c>
      <c r="R833" s="11" t="n">
        <f aca="false">P833-Q833</f>
        <v>314000</v>
      </c>
      <c r="S833" s="11" t="n">
        <f aca="false">IF(Calculator!$B$6="Yes",MIN(Q833,'Tax Tables'!$B$31*'Tax Tables'!$B$32),0)</f>
        <v>96000</v>
      </c>
      <c r="T833" s="11" t="n">
        <f aca="false">S833*Calculator!$B$7</f>
        <v>19200</v>
      </c>
      <c r="U833" s="11" t="n">
        <f aca="false">S833*Calculator!$B$8</f>
        <v>16320</v>
      </c>
      <c r="V833" s="11" t="n">
        <f aca="false">IF(Q833&gt;0,'Tax Tables'!$B$32*MIN(MAX(Q833/'Tax Tables'!$B$32*'Tax Tables'!$B$33,'Tax Tables'!$B$34),'Tax Tables'!$B$35),0)</f>
        <v>135</v>
      </c>
      <c r="W833" s="11" t="n">
        <f aca="false">Calculator!$B$5-P833-U833-V833</f>
        <v>-26455</v>
      </c>
      <c r="X833" s="11" t="n">
        <f aca="false">'Tax Tables'!$B$22*(MAX(W833,0)-IF(Calculator!$B$10="Yes",MIN(MAX(W833,0),'Tax Tables'!$B$27)*'Tax Tables'!$B$28+MIN(MAX(MAX(W833,0)-'Tax Tables'!$B$27,0),'Tax Tables'!$B$29)*'Tax Tables'!$B$30,MIN(MAX(W833,0),'Tax Tables'!$B$23)*'Tax Tables'!$B$24+MIN(MAX(MAX(W833,0)-'Tax Tables'!$B$23,0),'Tax Tables'!$B$25)*'Tax Tables'!$B$26))*1-MIN('Tax Tables'!$B$22*(MAX(W833,0)-IF(Calculator!$B$10="Yes",MIN(MAX(W833,0),'Tax Tables'!$B$27)*'Tax Tables'!$B$28+MIN(MAX(MAX(W833,0)-'Tax Tables'!$B$27,0),'Tax Tables'!$B$29)*'Tax Tables'!$B$30,MIN(MAX(W833,0),'Tax Tables'!$B$23)*'Tax Tables'!$B$24+MIN(MAX(MAX(W833,0)-'Tax Tables'!$B$23,0),'Tax Tables'!$B$25)*'Tax Tables'!$B$26))*Calculator!$B$11,Calculator!$B$12)</f>
        <v>0</v>
      </c>
      <c r="Y833" s="11" t="n">
        <f aca="false">MAX(W833,0)-X833</f>
        <v>0</v>
      </c>
      <c r="Z833" s="11" t="n">
        <f aca="false">MIN(IF(P833&gt;0,Calculator!$B$13,0)+T833+Calculator!$B$14,'Tax Tables'!$B$36)</f>
        <v>20200</v>
      </c>
      <c r="AA833" s="11" t="n">
        <f aca="false">MAX(P833-Z833,0)</f>
        <v>389800</v>
      </c>
      <c r="AB833" s="11" t="n">
        <f aca="false">SUMPRODUCT((AA833&gt;'Tax Tables'!$A$5:$A$17)*(AA833-'Tax Tables'!$A$5:$A$17)*'Tax Tables'!$C$5:$C$17)</f>
        <v>59906</v>
      </c>
      <c r="AC833" s="11" t="n">
        <f aca="false">IF(W833&lt;0,-1E+099,P833-T833-AB833+Y833+(T833+U833)*Calculator!$B$9)</f>
        <v>-1E+099</v>
      </c>
    </row>
    <row r="834" customFormat="false" ht="15" hidden="false" customHeight="false" outlineLevel="0" collapsed="false">
      <c r="A834" s="11" t="n">
        <f aca="false">821*$B$3</f>
        <v>410500</v>
      </c>
      <c r="B834" s="11" t="n">
        <f aca="false">0</f>
        <v>0</v>
      </c>
      <c r="C834" s="11" t="n">
        <f aca="false">A834-B834</f>
        <v>410500</v>
      </c>
      <c r="D834" s="11" t="n">
        <f aca="false">IF(Calculator!$B$6="Yes",MIN(B834,'Tax Tables'!$B$31*'Tax Tables'!$B$32),0)</f>
        <v>0</v>
      </c>
      <c r="E834" s="11" t="n">
        <f aca="false">D834*Calculator!$B$7</f>
        <v>0</v>
      </c>
      <c r="F834" s="11" t="n">
        <f aca="false">D834*Calculator!$B$8</f>
        <v>0</v>
      </c>
      <c r="G834" s="11" t="n">
        <f aca="false">IF(B834&gt;0,'Tax Tables'!$B$32*MIN(MAX(B834/'Tax Tables'!$B$32*'Tax Tables'!$B$33,'Tax Tables'!$B$34),'Tax Tables'!$B$35),0)</f>
        <v>0</v>
      </c>
      <c r="H834" s="11" t="n">
        <f aca="false">Calculator!$B$5-A834-F834-G834</f>
        <v>-10500</v>
      </c>
      <c r="I834" s="11" t="n">
        <f aca="false">'Tax Tables'!$B$22*(MAX(H834,0)-IF(Calculator!$B$10="Yes",MIN(MAX(H834,0),'Tax Tables'!$B$27)*'Tax Tables'!$B$28+MIN(MAX(MAX(H834,0)-'Tax Tables'!$B$27,0),'Tax Tables'!$B$29)*'Tax Tables'!$B$30,MIN(MAX(H834,0),'Tax Tables'!$B$23)*'Tax Tables'!$B$24+MIN(MAX(MAX(H834,0)-'Tax Tables'!$B$23,0),'Tax Tables'!$B$25)*'Tax Tables'!$B$26))*1-MIN('Tax Tables'!$B$22*(MAX(H834,0)-IF(Calculator!$B$10="Yes",MIN(MAX(H834,0),'Tax Tables'!$B$27)*'Tax Tables'!$B$28+MIN(MAX(MAX(H834,0)-'Tax Tables'!$B$27,0),'Tax Tables'!$B$29)*'Tax Tables'!$B$30,MIN(MAX(H834,0),'Tax Tables'!$B$23)*'Tax Tables'!$B$24+MIN(MAX(MAX(H834,0)-'Tax Tables'!$B$23,0),'Tax Tables'!$B$25)*'Tax Tables'!$B$26))*Calculator!$B$11,Calculator!$B$12)</f>
        <v>0</v>
      </c>
      <c r="J834" s="11" t="n">
        <f aca="false">MAX(H834,0)-I834</f>
        <v>0</v>
      </c>
      <c r="K834" s="11" t="n">
        <f aca="false">MIN(IF(A834&gt;0,Calculator!$B$13,0)+E834+Calculator!$B$14,'Tax Tables'!$B$36)</f>
        <v>1000</v>
      </c>
      <c r="L834" s="11" t="n">
        <f aca="false">MAX(A834-K834,0)</f>
        <v>409500</v>
      </c>
      <c r="M834" s="11" t="n">
        <f aca="false">SUMPRODUCT((L834&gt;'Tax Tables'!$A$5:$A$17)*(L834-'Tax Tables'!$A$5:$A$17)*'Tax Tables'!$C$5:$C$17)</f>
        <v>64240</v>
      </c>
      <c r="N834" s="11" t="n">
        <f aca="false">IF(H834&lt;0,-1E+099,A834-E834-M834+J834+(E834+F834)*Calculator!$B$9)</f>
        <v>-1E+099</v>
      </c>
      <c r="O834" s="2"/>
      <c r="P834" s="11" t="n">
        <f aca="false">821*$B$3</f>
        <v>410500</v>
      </c>
      <c r="Q834" s="11" t="n">
        <f aca="false">MIN(P834,'Tax Tables'!$B$31*'Tax Tables'!$B$32)</f>
        <v>96000</v>
      </c>
      <c r="R834" s="11" t="n">
        <f aca="false">P834-Q834</f>
        <v>314500</v>
      </c>
      <c r="S834" s="11" t="n">
        <f aca="false">IF(Calculator!$B$6="Yes",MIN(Q834,'Tax Tables'!$B$31*'Tax Tables'!$B$32),0)</f>
        <v>96000</v>
      </c>
      <c r="T834" s="11" t="n">
        <f aca="false">S834*Calculator!$B$7</f>
        <v>19200</v>
      </c>
      <c r="U834" s="11" t="n">
        <f aca="false">S834*Calculator!$B$8</f>
        <v>16320</v>
      </c>
      <c r="V834" s="11" t="n">
        <f aca="false">IF(Q834&gt;0,'Tax Tables'!$B$32*MIN(MAX(Q834/'Tax Tables'!$B$32*'Tax Tables'!$B$33,'Tax Tables'!$B$34),'Tax Tables'!$B$35),0)</f>
        <v>135</v>
      </c>
      <c r="W834" s="11" t="n">
        <f aca="false">Calculator!$B$5-P834-U834-V834</f>
        <v>-26955</v>
      </c>
      <c r="X834" s="11" t="n">
        <f aca="false">'Tax Tables'!$B$22*(MAX(W834,0)-IF(Calculator!$B$10="Yes",MIN(MAX(W834,0),'Tax Tables'!$B$27)*'Tax Tables'!$B$28+MIN(MAX(MAX(W834,0)-'Tax Tables'!$B$27,0),'Tax Tables'!$B$29)*'Tax Tables'!$B$30,MIN(MAX(W834,0),'Tax Tables'!$B$23)*'Tax Tables'!$B$24+MIN(MAX(MAX(W834,0)-'Tax Tables'!$B$23,0),'Tax Tables'!$B$25)*'Tax Tables'!$B$26))*1-MIN('Tax Tables'!$B$22*(MAX(W834,0)-IF(Calculator!$B$10="Yes",MIN(MAX(W834,0),'Tax Tables'!$B$27)*'Tax Tables'!$B$28+MIN(MAX(MAX(W834,0)-'Tax Tables'!$B$27,0),'Tax Tables'!$B$29)*'Tax Tables'!$B$30,MIN(MAX(W834,0),'Tax Tables'!$B$23)*'Tax Tables'!$B$24+MIN(MAX(MAX(W834,0)-'Tax Tables'!$B$23,0),'Tax Tables'!$B$25)*'Tax Tables'!$B$26))*Calculator!$B$11,Calculator!$B$12)</f>
        <v>0</v>
      </c>
      <c r="Y834" s="11" t="n">
        <f aca="false">MAX(W834,0)-X834</f>
        <v>0</v>
      </c>
      <c r="Z834" s="11" t="n">
        <f aca="false">MIN(IF(P834&gt;0,Calculator!$B$13,0)+T834+Calculator!$B$14,'Tax Tables'!$B$36)</f>
        <v>20200</v>
      </c>
      <c r="AA834" s="11" t="n">
        <f aca="false">MAX(P834-Z834,0)</f>
        <v>390300</v>
      </c>
      <c r="AB834" s="11" t="n">
        <f aca="false">SUMPRODUCT((AA834&gt;'Tax Tables'!$A$5:$A$17)*(AA834-'Tax Tables'!$A$5:$A$17)*'Tax Tables'!$C$5:$C$17)</f>
        <v>60016</v>
      </c>
      <c r="AC834" s="11" t="n">
        <f aca="false">IF(W834&lt;0,-1E+099,P834-T834-AB834+Y834+(T834+U834)*Calculator!$B$9)</f>
        <v>-1E+099</v>
      </c>
    </row>
    <row r="835" customFormat="false" ht="15" hidden="false" customHeight="false" outlineLevel="0" collapsed="false">
      <c r="A835" s="11" t="n">
        <f aca="false">822*$B$3</f>
        <v>411000</v>
      </c>
      <c r="B835" s="11" t="n">
        <f aca="false">0</f>
        <v>0</v>
      </c>
      <c r="C835" s="11" t="n">
        <f aca="false">A835-B835</f>
        <v>411000</v>
      </c>
      <c r="D835" s="11" t="n">
        <f aca="false">IF(Calculator!$B$6="Yes",MIN(B835,'Tax Tables'!$B$31*'Tax Tables'!$B$32),0)</f>
        <v>0</v>
      </c>
      <c r="E835" s="11" t="n">
        <f aca="false">D835*Calculator!$B$7</f>
        <v>0</v>
      </c>
      <c r="F835" s="11" t="n">
        <f aca="false">D835*Calculator!$B$8</f>
        <v>0</v>
      </c>
      <c r="G835" s="11" t="n">
        <f aca="false">IF(B835&gt;0,'Tax Tables'!$B$32*MIN(MAX(B835/'Tax Tables'!$B$32*'Tax Tables'!$B$33,'Tax Tables'!$B$34),'Tax Tables'!$B$35),0)</f>
        <v>0</v>
      </c>
      <c r="H835" s="11" t="n">
        <f aca="false">Calculator!$B$5-A835-F835-G835</f>
        <v>-11000</v>
      </c>
      <c r="I835" s="11" t="n">
        <f aca="false">'Tax Tables'!$B$22*(MAX(H835,0)-IF(Calculator!$B$10="Yes",MIN(MAX(H835,0),'Tax Tables'!$B$27)*'Tax Tables'!$B$28+MIN(MAX(MAX(H835,0)-'Tax Tables'!$B$27,0),'Tax Tables'!$B$29)*'Tax Tables'!$B$30,MIN(MAX(H835,0),'Tax Tables'!$B$23)*'Tax Tables'!$B$24+MIN(MAX(MAX(H835,0)-'Tax Tables'!$B$23,0),'Tax Tables'!$B$25)*'Tax Tables'!$B$26))*1-MIN('Tax Tables'!$B$22*(MAX(H835,0)-IF(Calculator!$B$10="Yes",MIN(MAX(H835,0),'Tax Tables'!$B$27)*'Tax Tables'!$B$28+MIN(MAX(MAX(H835,0)-'Tax Tables'!$B$27,0),'Tax Tables'!$B$29)*'Tax Tables'!$B$30,MIN(MAX(H835,0),'Tax Tables'!$B$23)*'Tax Tables'!$B$24+MIN(MAX(MAX(H835,0)-'Tax Tables'!$B$23,0),'Tax Tables'!$B$25)*'Tax Tables'!$B$26))*Calculator!$B$11,Calculator!$B$12)</f>
        <v>0</v>
      </c>
      <c r="J835" s="11" t="n">
        <f aca="false">MAX(H835,0)-I835</f>
        <v>0</v>
      </c>
      <c r="K835" s="11" t="n">
        <f aca="false">MIN(IF(A835&gt;0,Calculator!$B$13,0)+E835+Calculator!$B$14,'Tax Tables'!$B$36)</f>
        <v>1000</v>
      </c>
      <c r="L835" s="11" t="n">
        <f aca="false">MAX(A835-K835,0)</f>
        <v>410000</v>
      </c>
      <c r="M835" s="11" t="n">
        <f aca="false">SUMPRODUCT((L835&gt;'Tax Tables'!$A$5:$A$17)*(L835-'Tax Tables'!$A$5:$A$17)*'Tax Tables'!$C$5:$C$17)</f>
        <v>64350</v>
      </c>
      <c r="N835" s="11" t="n">
        <f aca="false">IF(H835&lt;0,-1E+099,A835-E835-M835+J835+(E835+F835)*Calculator!$B$9)</f>
        <v>-1E+099</v>
      </c>
      <c r="O835" s="2"/>
      <c r="P835" s="11" t="n">
        <f aca="false">822*$B$3</f>
        <v>411000</v>
      </c>
      <c r="Q835" s="11" t="n">
        <f aca="false">MIN(P835,'Tax Tables'!$B$31*'Tax Tables'!$B$32)</f>
        <v>96000</v>
      </c>
      <c r="R835" s="11" t="n">
        <f aca="false">P835-Q835</f>
        <v>315000</v>
      </c>
      <c r="S835" s="11" t="n">
        <f aca="false">IF(Calculator!$B$6="Yes",MIN(Q835,'Tax Tables'!$B$31*'Tax Tables'!$B$32),0)</f>
        <v>96000</v>
      </c>
      <c r="T835" s="11" t="n">
        <f aca="false">S835*Calculator!$B$7</f>
        <v>19200</v>
      </c>
      <c r="U835" s="11" t="n">
        <f aca="false">S835*Calculator!$B$8</f>
        <v>16320</v>
      </c>
      <c r="V835" s="11" t="n">
        <f aca="false">IF(Q835&gt;0,'Tax Tables'!$B$32*MIN(MAX(Q835/'Tax Tables'!$B$32*'Tax Tables'!$B$33,'Tax Tables'!$B$34),'Tax Tables'!$B$35),0)</f>
        <v>135</v>
      </c>
      <c r="W835" s="11" t="n">
        <f aca="false">Calculator!$B$5-P835-U835-V835</f>
        <v>-27455</v>
      </c>
      <c r="X835" s="11" t="n">
        <f aca="false">'Tax Tables'!$B$22*(MAX(W835,0)-IF(Calculator!$B$10="Yes",MIN(MAX(W835,0),'Tax Tables'!$B$27)*'Tax Tables'!$B$28+MIN(MAX(MAX(W835,0)-'Tax Tables'!$B$27,0),'Tax Tables'!$B$29)*'Tax Tables'!$B$30,MIN(MAX(W835,0),'Tax Tables'!$B$23)*'Tax Tables'!$B$24+MIN(MAX(MAX(W835,0)-'Tax Tables'!$B$23,0),'Tax Tables'!$B$25)*'Tax Tables'!$B$26))*1-MIN('Tax Tables'!$B$22*(MAX(W835,0)-IF(Calculator!$B$10="Yes",MIN(MAX(W835,0),'Tax Tables'!$B$27)*'Tax Tables'!$B$28+MIN(MAX(MAX(W835,0)-'Tax Tables'!$B$27,0),'Tax Tables'!$B$29)*'Tax Tables'!$B$30,MIN(MAX(W835,0),'Tax Tables'!$B$23)*'Tax Tables'!$B$24+MIN(MAX(MAX(W835,0)-'Tax Tables'!$B$23,0),'Tax Tables'!$B$25)*'Tax Tables'!$B$26))*Calculator!$B$11,Calculator!$B$12)</f>
        <v>0</v>
      </c>
      <c r="Y835" s="11" t="n">
        <f aca="false">MAX(W835,0)-X835</f>
        <v>0</v>
      </c>
      <c r="Z835" s="11" t="n">
        <f aca="false">MIN(IF(P835&gt;0,Calculator!$B$13,0)+T835+Calculator!$B$14,'Tax Tables'!$B$36)</f>
        <v>20200</v>
      </c>
      <c r="AA835" s="11" t="n">
        <f aca="false">MAX(P835-Z835,0)</f>
        <v>390800</v>
      </c>
      <c r="AB835" s="11" t="n">
        <f aca="false">SUMPRODUCT((AA835&gt;'Tax Tables'!$A$5:$A$17)*(AA835-'Tax Tables'!$A$5:$A$17)*'Tax Tables'!$C$5:$C$17)</f>
        <v>60126</v>
      </c>
      <c r="AC835" s="11" t="n">
        <f aca="false">IF(W835&lt;0,-1E+099,P835-T835-AB835+Y835+(T835+U835)*Calculator!$B$9)</f>
        <v>-1E+099</v>
      </c>
    </row>
    <row r="836" customFormat="false" ht="15" hidden="false" customHeight="false" outlineLevel="0" collapsed="false">
      <c r="A836" s="11" t="n">
        <f aca="false">823*$B$3</f>
        <v>411500</v>
      </c>
      <c r="B836" s="11" t="n">
        <f aca="false">0</f>
        <v>0</v>
      </c>
      <c r="C836" s="11" t="n">
        <f aca="false">A836-B836</f>
        <v>411500</v>
      </c>
      <c r="D836" s="11" t="n">
        <f aca="false">IF(Calculator!$B$6="Yes",MIN(B836,'Tax Tables'!$B$31*'Tax Tables'!$B$32),0)</f>
        <v>0</v>
      </c>
      <c r="E836" s="11" t="n">
        <f aca="false">D836*Calculator!$B$7</f>
        <v>0</v>
      </c>
      <c r="F836" s="11" t="n">
        <f aca="false">D836*Calculator!$B$8</f>
        <v>0</v>
      </c>
      <c r="G836" s="11" t="n">
        <f aca="false">IF(B836&gt;0,'Tax Tables'!$B$32*MIN(MAX(B836/'Tax Tables'!$B$32*'Tax Tables'!$B$33,'Tax Tables'!$B$34),'Tax Tables'!$B$35),0)</f>
        <v>0</v>
      </c>
      <c r="H836" s="11" t="n">
        <f aca="false">Calculator!$B$5-A836-F836-G836</f>
        <v>-11500</v>
      </c>
      <c r="I836" s="11" t="n">
        <f aca="false">'Tax Tables'!$B$22*(MAX(H836,0)-IF(Calculator!$B$10="Yes",MIN(MAX(H836,0),'Tax Tables'!$B$27)*'Tax Tables'!$B$28+MIN(MAX(MAX(H836,0)-'Tax Tables'!$B$27,0),'Tax Tables'!$B$29)*'Tax Tables'!$B$30,MIN(MAX(H836,0),'Tax Tables'!$B$23)*'Tax Tables'!$B$24+MIN(MAX(MAX(H836,0)-'Tax Tables'!$B$23,0),'Tax Tables'!$B$25)*'Tax Tables'!$B$26))*1-MIN('Tax Tables'!$B$22*(MAX(H836,0)-IF(Calculator!$B$10="Yes",MIN(MAX(H836,0),'Tax Tables'!$B$27)*'Tax Tables'!$B$28+MIN(MAX(MAX(H836,0)-'Tax Tables'!$B$27,0),'Tax Tables'!$B$29)*'Tax Tables'!$B$30,MIN(MAX(H836,0),'Tax Tables'!$B$23)*'Tax Tables'!$B$24+MIN(MAX(MAX(H836,0)-'Tax Tables'!$B$23,0),'Tax Tables'!$B$25)*'Tax Tables'!$B$26))*Calculator!$B$11,Calculator!$B$12)</f>
        <v>0</v>
      </c>
      <c r="J836" s="11" t="n">
        <f aca="false">MAX(H836,0)-I836</f>
        <v>0</v>
      </c>
      <c r="K836" s="11" t="n">
        <f aca="false">MIN(IF(A836&gt;0,Calculator!$B$13,0)+E836+Calculator!$B$14,'Tax Tables'!$B$36)</f>
        <v>1000</v>
      </c>
      <c r="L836" s="11" t="n">
        <f aca="false">MAX(A836-K836,0)</f>
        <v>410500</v>
      </c>
      <c r="M836" s="11" t="n">
        <f aca="false">SUMPRODUCT((L836&gt;'Tax Tables'!$A$5:$A$17)*(L836-'Tax Tables'!$A$5:$A$17)*'Tax Tables'!$C$5:$C$17)</f>
        <v>64460</v>
      </c>
      <c r="N836" s="11" t="n">
        <f aca="false">IF(H836&lt;0,-1E+099,A836-E836-M836+J836+(E836+F836)*Calculator!$B$9)</f>
        <v>-1E+099</v>
      </c>
      <c r="O836" s="2"/>
      <c r="P836" s="11" t="n">
        <f aca="false">823*$B$3</f>
        <v>411500</v>
      </c>
      <c r="Q836" s="11" t="n">
        <f aca="false">MIN(P836,'Tax Tables'!$B$31*'Tax Tables'!$B$32)</f>
        <v>96000</v>
      </c>
      <c r="R836" s="11" t="n">
        <f aca="false">P836-Q836</f>
        <v>315500</v>
      </c>
      <c r="S836" s="11" t="n">
        <f aca="false">IF(Calculator!$B$6="Yes",MIN(Q836,'Tax Tables'!$B$31*'Tax Tables'!$B$32),0)</f>
        <v>96000</v>
      </c>
      <c r="T836" s="11" t="n">
        <f aca="false">S836*Calculator!$B$7</f>
        <v>19200</v>
      </c>
      <c r="U836" s="11" t="n">
        <f aca="false">S836*Calculator!$B$8</f>
        <v>16320</v>
      </c>
      <c r="V836" s="11" t="n">
        <f aca="false">IF(Q836&gt;0,'Tax Tables'!$B$32*MIN(MAX(Q836/'Tax Tables'!$B$32*'Tax Tables'!$B$33,'Tax Tables'!$B$34),'Tax Tables'!$B$35),0)</f>
        <v>135</v>
      </c>
      <c r="W836" s="11" t="n">
        <f aca="false">Calculator!$B$5-P836-U836-V836</f>
        <v>-27955</v>
      </c>
      <c r="X836" s="11" t="n">
        <f aca="false">'Tax Tables'!$B$22*(MAX(W836,0)-IF(Calculator!$B$10="Yes",MIN(MAX(W836,0),'Tax Tables'!$B$27)*'Tax Tables'!$B$28+MIN(MAX(MAX(W836,0)-'Tax Tables'!$B$27,0),'Tax Tables'!$B$29)*'Tax Tables'!$B$30,MIN(MAX(W836,0),'Tax Tables'!$B$23)*'Tax Tables'!$B$24+MIN(MAX(MAX(W836,0)-'Tax Tables'!$B$23,0),'Tax Tables'!$B$25)*'Tax Tables'!$B$26))*1-MIN('Tax Tables'!$B$22*(MAX(W836,0)-IF(Calculator!$B$10="Yes",MIN(MAX(W836,0),'Tax Tables'!$B$27)*'Tax Tables'!$B$28+MIN(MAX(MAX(W836,0)-'Tax Tables'!$B$27,0),'Tax Tables'!$B$29)*'Tax Tables'!$B$30,MIN(MAX(W836,0),'Tax Tables'!$B$23)*'Tax Tables'!$B$24+MIN(MAX(MAX(W836,0)-'Tax Tables'!$B$23,0),'Tax Tables'!$B$25)*'Tax Tables'!$B$26))*Calculator!$B$11,Calculator!$B$12)</f>
        <v>0</v>
      </c>
      <c r="Y836" s="11" t="n">
        <f aca="false">MAX(W836,0)-X836</f>
        <v>0</v>
      </c>
      <c r="Z836" s="11" t="n">
        <f aca="false">MIN(IF(P836&gt;0,Calculator!$B$13,0)+T836+Calculator!$B$14,'Tax Tables'!$B$36)</f>
        <v>20200</v>
      </c>
      <c r="AA836" s="11" t="n">
        <f aca="false">MAX(P836-Z836,0)</f>
        <v>391300</v>
      </c>
      <c r="AB836" s="11" t="n">
        <f aca="false">SUMPRODUCT((AA836&gt;'Tax Tables'!$A$5:$A$17)*(AA836-'Tax Tables'!$A$5:$A$17)*'Tax Tables'!$C$5:$C$17)</f>
        <v>60236</v>
      </c>
      <c r="AC836" s="11" t="n">
        <f aca="false">IF(W836&lt;0,-1E+099,P836-T836-AB836+Y836+(T836+U836)*Calculator!$B$9)</f>
        <v>-1E+099</v>
      </c>
    </row>
    <row r="837" customFormat="false" ht="15" hidden="false" customHeight="false" outlineLevel="0" collapsed="false">
      <c r="A837" s="11" t="n">
        <f aca="false">824*$B$3</f>
        <v>412000</v>
      </c>
      <c r="B837" s="11" t="n">
        <f aca="false">0</f>
        <v>0</v>
      </c>
      <c r="C837" s="11" t="n">
        <f aca="false">A837-B837</f>
        <v>412000</v>
      </c>
      <c r="D837" s="11" t="n">
        <f aca="false">IF(Calculator!$B$6="Yes",MIN(B837,'Tax Tables'!$B$31*'Tax Tables'!$B$32),0)</f>
        <v>0</v>
      </c>
      <c r="E837" s="11" t="n">
        <f aca="false">D837*Calculator!$B$7</f>
        <v>0</v>
      </c>
      <c r="F837" s="11" t="n">
        <f aca="false">D837*Calculator!$B$8</f>
        <v>0</v>
      </c>
      <c r="G837" s="11" t="n">
        <f aca="false">IF(B837&gt;0,'Tax Tables'!$B$32*MIN(MAX(B837/'Tax Tables'!$B$32*'Tax Tables'!$B$33,'Tax Tables'!$B$34),'Tax Tables'!$B$35),0)</f>
        <v>0</v>
      </c>
      <c r="H837" s="11" t="n">
        <f aca="false">Calculator!$B$5-A837-F837-G837</f>
        <v>-12000</v>
      </c>
      <c r="I837" s="11" t="n">
        <f aca="false">'Tax Tables'!$B$22*(MAX(H837,0)-IF(Calculator!$B$10="Yes",MIN(MAX(H837,0),'Tax Tables'!$B$27)*'Tax Tables'!$B$28+MIN(MAX(MAX(H837,0)-'Tax Tables'!$B$27,0),'Tax Tables'!$B$29)*'Tax Tables'!$B$30,MIN(MAX(H837,0),'Tax Tables'!$B$23)*'Tax Tables'!$B$24+MIN(MAX(MAX(H837,0)-'Tax Tables'!$B$23,0),'Tax Tables'!$B$25)*'Tax Tables'!$B$26))*1-MIN('Tax Tables'!$B$22*(MAX(H837,0)-IF(Calculator!$B$10="Yes",MIN(MAX(H837,0),'Tax Tables'!$B$27)*'Tax Tables'!$B$28+MIN(MAX(MAX(H837,0)-'Tax Tables'!$B$27,0),'Tax Tables'!$B$29)*'Tax Tables'!$B$30,MIN(MAX(H837,0),'Tax Tables'!$B$23)*'Tax Tables'!$B$24+MIN(MAX(MAX(H837,0)-'Tax Tables'!$B$23,0),'Tax Tables'!$B$25)*'Tax Tables'!$B$26))*Calculator!$B$11,Calculator!$B$12)</f>
        <v>0</v>
      </c>
      <c r="J837" s="11" t="n">
        <f aca="false">MAX(H837,0)-I837</f>
        <v>0</v>
      </c>
      <c r="K837" s="11" t="n">
        <f aca="false">MIN(IF(A837&gt;0,Calculator!$B$13,0)+E837+Calculator!$B$14,'Tax Tables'!$B$36)</f>
        <v>1000</v>
      </c>
      <c r="L837" s="11" t="n">
        <f aca="false">MAX(A837-K837,0)</f>
        <v>411000</v>
      </c>
      <c r="M837" s="11" t="n">
        <f aca="false">SUMPRODUCT((L837&gt;'Tax Tables'!$A$5:$A$17)*(L837-'Tax Tables'!$A$5:$A$17)*'Tax Tables'!$C$5:$C$17)</f>
        <v>64570</v>
      </c>
      <c r="N837" s="11" t="n">
        <f aca="false">IF(H837&lt;0,-1E+099,A837-E837-M837+J837+(E837+F837)*Calculator!$B$9)</f>
        <v>-1E+099</v>
      </c>
      <c r="O837" s="2"/>
      <c r="P837" s="11" t="n">
        <f aca="false">824*$B$3</f>
        <v>412000</v>
      </c>
      <c r="Q837" s="11" t="n">
        <f aca="false">MIN(P837,'Tax Tables'!$B$31*'Tax Tables'!$B$32)</f>
        <v>96000</v>
      </c>
      <c r="R837" s="11" t="n">
        <f aca="false">P837-Q837</f>
        <v>316000</v>
      </c>
      <c r="S837" s="11" t="n">
        <f aca="false">IF(Calculator!$B$6="Yes",MIN(Q837,'Tax Tables'!$B$31*'Tax Tables'!$B$32),0)</f>
        <v>96000</v>
      </c>
      <c r="T837" s="11" t="n">
        <f aca="false">S837*Calculator!$B$7</f>
        <v>19200</v>
      </c>
      <c r="U837" s="11" t="n">
        <f aca="false">S837*Calculator!$B$8</f>
        <v>16320</v>
      </c>
      <c r="V837" s="11" t="n">
        <f aca="false">IF(Q837&gt;0,'Tax Tables'!$B$32*MIN(MAX(Q837/'Tax Tables'!$B$32*'Tax Tables'!$B$33,'Tax Tables'!$B$34),'Tax Tables'!$B$35),0)</f>
        <v>135</v>
      </c>
      <c r="W837" s="11" t="n">
        <f aca="false">Calculator!$B$5-P837-U837-V837</f>
        <v>-28455</v>
      </c>
      <c r="X837" s="11" t="n">
        <f aca="false">'Tax Tables'!$B$22*(MAX(W837,0)-IF(Calculator!$B$10="Yes",MIN(MAX(W837,0),'Tax Tables'!$B$27)*'Tax Tables'!$B$28+MIN(MAX(MAX(W837,0)-'Tax Tables'!$B$27,0),'Tax Tables'!$B$29)*'Tax Tables'!$B$30,MIN(MAX(W837,0),'Tax Tables'!$B$23)*'Tax Tables'!$B$24+MIN(MAX(MAX(W837,0)-'Tax Tables'!$B$23,0),'Tax Tables'!$B$25)*'Tax Tables'!$B$26))*1-MIN('Tax Tables'!$B$22*(MAX(W837,0)-IF(Calculator!$B$10="Yes",MIN(MAX(W837,0),'Tax Tables'!$B$27)*'Tax Tables'!$B$28+MIN(MAX(MAX(W837,0)-'Tax Tables'!$B$27,0),'Tax Tables'!$B$29)*'Tax Tables'!$B$30,MIN(MAX(W837,0),'Tax Tables'!$B$23)*'Tax Tables'!$B$24+MIN(MAX(MAX(W837,0)-'Tax Tables'!$B$23,0),'Tax Tables'!$B$25)*'Tax Tables'!$B$26))*Calculator!$B$11,Calculator!$B$12)</f>
        <v>0</v>
      </c>
      <c r="Y837" s="11" t="n">
        <f aca="false">MAX(W837,0)-X837</f>
        <v>0</v>
      </c>
      <c r="Z837" s="11" t="n">
        <f aca="false">MIN(IF(P837&gt;0,Calculator!$B$13,0)+T837+Calculator!$B$14,'Tax Tables'!$B$36)</f>
        <v>20200</v>
      </c>
      <c r="AA837" s="11" t="n">
        <f aca="false">MAX(P837-Z837,0)</f>
        <v>391800</v>
      </c>
      <c r="AB837" s="11" t="n">
        <f aca="false">SUMPRODUCT((AA837&gt;'Tax Tables'!$A$5:$A$17)*(AA837-'Tax Tables'!$A$5:$A$17)*'Tax Tables'!$C$5:$C$17)</f>
        <v>60346</v>
      </c>
      <c r="AC837" s="11" t="n">
        <f aca="false">IF(W837&lt;0,-1E+099,P837-T837-AB837+Y837+(T837+U837)*Calculator!$B$9)</f>
        <v>-1E+099</v>
      </c>
    </row>
    <row r="838" customFormat="false" ht="15" hidden="false" customHeight="false" outlineLevel="0" collapsed="false">
      <c r="A838" s="11" t="n">
        <f aca="false">825*$B$3</f>
        <v>412500</v>
      </c>
      <c r="B838" s="11" t="n">
        <f aca="false">0</f>
        <v>0</v>
      </c>
      <c r="C838" s="11" t="n">
        <f aca="false">A838-B838</f>
        <v>412500</v>
      </c>
      <c r="D838" s="11" t="n">
        <f aca="false">IF(Calculator!$B$6="Yes",MIN(B838,'Tax Tables'!$B$31*'Tax Tables'!$B$32),0)</f>
        <v>0</v>
      </c>
      <c r="E838" s="11" t="n">
        <f aca="false">D838*Calculator!$B$7</f>
        <v>0</v>
      </c>
      <c r="F838" s="11" t="n">
        <f aca="false">D838*Calculator!$B$8</f>
        <v>0</v>
      </c>
      <c r="G838" s="11" t="n">
        <f aca="false">IF(B838&gt;0,'Tax Tables'!$B$32*MIN(MAX(B838/'Tax Tables'!$B$32*'Tax Tables'!$B$33,'Tax Tables'!$B$34),'Tax Tables'!$B$35),0)</f>
        <v>0</v>
      </c>
      <c r="H838" s="11" t="n">
        <f aca="false">Calculator!$B$5-A838-F838-G838</f>
        <v>-12500</v>
      </c>
      <c r="I838" s="11" t="n">
        <f aca="false">'Tax Tables'!$B$22*(MAX(H838,0)-IF(Calculator!$B$10="Yes",MIN(MAX(H838,0),'Tax Tables'!$B$27)*'Tax Tables'!$B$28+MIN(MAX(MAX(H838,0)-'Tax Tables'!$B$27,0),'Tax Tables'!$B$29)*'Tax Tables'!$B$30,MIN(MAX(H838,0),'Tax Tables'!$B$23)*'Tax Tables'!$B$24+MIN(MAX(MAX(H838,0)-'Tax Tables'!$B$23,0),'Tax Tables'!$B$25)*'Tax Tables'!$B$26))*1-MIN('Tax Tables'!$B$22*(MAX(H838,0)-IF(Calculator!$B$10="Yes",MIN(MAX(H838,0),'Tax Tables'!$B$27)*'Tax Tables'!$B$28+MIN(MAX(MAX(H838,0)-'Tax Tables'!$B$27,0),'Tax Tables'!$B$29)*'Tax Tables'!$B$30,MIN(MAX(H838,0),'Tax Tables'!$B$23)*'Tax Tables'!$B$24+MIN(MAX(MAX(H838,0)-'Tax Tables'!$B$23,0),'Tax Tables'!$B$25)*'Tax Tables'!$B$26))*Calculator!$B$11,Calculator!$B$12)</f>
        <v>0</v>
      </c>
      <c r="J838" s="11" t="n">
        <f aca="false">MAX(H838,0)-I838</f>
        <v>0</v>
      </c>
      <c r="K838" s="11" t="n">
        <f aca="false">MIN(IF(A838&gt;0,Calculator!$B$13,0)+E838+Calculator!$B$14,'Tax Tables'!$B$36)</f>
        <v>1000</v>
      </c>
      <c r="L838" s="11" t="n">
        <f aca="false">MAX(A838-K838,0)</f>
        <v>411500</v>
      </c>
      <c r="M838" s="11" t="n">
        <f aca="false">SUMPRODUCT((L838&gt;'Tax Tables'!$A$5:$A$17)*(L838-'Tax Tables'!$A$5:$A$17)*'Tax Tables'!$C$5:$C$17)</f>
        <v>64680</v>
      </c>
      <c r="N838" s="11" t="n">
        <f aca="false">IF(H838&lt;0,-1E+099,A838-E838-M838+J838+(E838+F838)*Calculator!$B$9)</f>
        <v>-1E+099</v>
      </c>
      <c r="O838" s="2"/>
      <c r="P838" s="11" t="n">
        <f aca="false">825*$B$3</f>
        <v>412500</v>
      </c>
      <c r="Q838" s="11" t="n">
        <f aca="false">MIN(P838,'Tax Tables'!$B$31*'Tax Tables'!$B$32)</f>
        <v>96000</v>
      </c>
      <c r="R838" s="11" t="n">
        <f aca="false">P838-Q838</f>
        <v>316500</v>
      </c>
      <c r="S838" s="11" t="n">
        <f aca="false">IF(Calculator!$B$6="Yes",MIN(Q838,'Tax Tables'!$B$31*'Tax Tables'!$B$32),0)</f>
        <v>96000</v>
      </c>
      <c r="T838" s="11" t="n">
        <f aca="false">S838*Calculator!$B$7</f>
        <v>19200</v>
      </c>
      <c r="U838" s="11" t="n">
        <f aca="false">S838*Calculator!$B$8</f>
        <v>16320</v>
      </c>
      <c r="V838" s="11" t="n">
        <f aca="false">IF(Q838&gt;0,'Tax Tables'!$B$32*MIN(MAX(Q838/'Tax Tables'!$B$32*'Tax Tables'!$B$33,'Tax Tables'!$B$34),'Tax Tables'!$B$35),0)</f>
        <v>135</v>
      </c>
      <c r="W838" s="11" t="n">
        <f aca="false">Calculator!$B$5-P838-U838-V838</f>
        <v>-28955</v>
      </c>
      <c r="X838" s="11" t="n">
        <f aca="false">'Tax Tables'!$B$22*(MAX(W838,0)-IF(Calculator!$B$10="Yes",MIN(MAX(W838,0),'Tax Tables'!$B$27)*'Tax Tables'!$B$28+MIN(MAX(MAX(W838,0)-'Tax Tables'!$B$27,0),'Tax Tables'!$B$29)*'Tax Tables'!$B$30,MIN(MAX(W838,0),'Tax Tables'!$B$23)*'Tax Tables'!$B$24+MIN(MAX(MAX(W838,0)-'Tax Tables'!$B$23,0),'Tax Tables'!$B$25)*'Tax Tables'!$B$26))*1-MIN('Tax Tables'!$B$22*(MAX(W838,0)-IF(Calculator!$B$10="Yes",MIN(MAX(W838,0),'Tax Tables'!$B$27)*'Tax Tables'!$B$28+MIN(MAX(MAX(W838,0)-'Tax Tables'!$B$27,0),'Tax Tables'!$B$29)*'Tax Tables'!$B$30,MIN(MAX(W838,0),'Tax Tables'!$B$23)*'Tax Tables'!$B$24+MIN(MAX(MAX(W838,0)-'Tax Tables'!$B$23,0),'Tax Tables'!$B$25)*'Tax Tables'!$B$26))*Calculator!$B$11,Calculator!$B$12)</f>
        <v>0</v>
      </c>
      <c r="Y838" s="11" t="n">
        <f aca="false">MAX(W838,0)-X838</f>
        <v>0</v>
      </c>
      <c r="Z838" s="11" t="n">
        <f aca="false">MIN(IF(P838&gt;0,Calculator!$B$13,0)+T838+Calculator!$B$14,'Tax Tables'!$B$36)</f>
        <v>20200</v>
      </c>
      <c r="AA838" s="11" t="n">
        <f aca="false">MAX(P838-Z838,0)</f>
        <v>392300</v>
      </c>
      <c r="AB838" s="11" t="n">
        <f aca="false">SUMPRODUCT((AA838&gt;'Tax Tables'!$A$5:$A$17)*(AA838-'Tax Tables'!$A$5:$A$17)*'Tax Tables'!$C$5:$C$17)</f>
        <v>60456</v>
      </c>
      <c r="AC838" s="11" t="n">
        <f aca="false">IF(W838&lt;0,-1E+099,P838-T838-AB838+Y838+(T838+U838)*Calculator!$B$9)</f>
        <v>-1E+099</v>
      </c>
    </row>
    <row r="839" customFormat="false" ht="15" hidden="false" customHeight="false" outlineLevel="0" collapsed="false">
      <c r="A839" s="11" t="n">
        <f aca="false">826*$B$3</f>
        <v>413000</v>
      </c>
      <c r="B839" s="11" t="n">
        <f aca="false">0</f>
        <v>0</v>
      </c>
      <c r="C839" s="11" t="n">
        <f aca="false">A839-B839</f>
        <v>413000</v>
      </c>
      <c r="D839" s="11" t="n">
        <f aca="false">IF(Calculator!$B$6="Yes",MIN(B839,'Tax Tables'!$B$31*'Tax Tables'!$B$32),0)</f>
        <v>0</v>
      </c>
      <c r="E839" s="11" t="n">
        <f aca="false">D839*Calculator!$B$7</f>
        <v>0</v>
      </c>
      <c r="F839" s="11" t="n">
        <f aca="false">D839*Calculator!$B$8</f>
        <v>0</v>
      </c>
      <c r="G839" s="11" t="n">
        <f aca="false">IF(B839&gt;0,'Tax Tables'!$B$32*MIN(MAX(B839/'Tax Tables'!$B$32*'Tax Tables'!$B$33,'Tax Tables'!$B$34),'Tax Tables'!$B$35),0)</f>
        <v>0</v>
      </c>
      <c r="H839" s="11" t="n">
        <f aca="false">Calculator!$B$5-A839-F839-G839</f>
        <v>-13000</v>
      </c>
      <c r="I839" s="11" t="n">
        <f aca="false">'Tax Tables'!$B$22*(MAX(H839,0)-IF(Calculator!$B$10="Yes",MIN(MAX(H839,0),'Tax Tables'!$B$27)*'Tax Tables'!$B$28+MIN(MAX(MAX(H839,0)-'Tax Tables'!$B$27,0),'Tax Tables'!$B$29)*'Tax Tables'!$B$30,MIN(MAX(H839,0),'Tax Tables'!$B$23)*'Tax Tables'!$B$24+MIN(MAX(MAX(H839,0)-'Tax Tables'!$B$23,0),'Tax Tables'!$B$25)*'Tax Tables'!$B$26))*1-MIN('Tax Tables'!$B$22*(MAX(H839,0)-IF(Calculator!$B$10="Yes",MIN(MAX(H839,0),'Tax Tables'!$B$27)*'Tax Tables'!$B$28+MIN(MAX(MAX(H839,0)-'Tax Tables'!$B$27,0),'Tax Tables'!$B$29)*'Tax Tables'!$B$30,MIN(MAX(H839,0),'Tax Tables'!$B$23)*'Tax Tables'!$B$24+MIN(MAX(MAX(H839,0)-'Tax Tables'!$B$23,0),'Tax Tables'!$B$25)*'Tax Tables'!$B$26))*Calculator!$B$11,Calculator!$B$12)</f>
        <v>0</v>
      </c>
      <c r="J839" s="11" t="n">
        <f aca="false">MAX(H839,0)-I839</f>
        <v>0</v>
      </c>
      <c r="K839" s="11" t="n">
        <f aca="false">MIN(IF(A839&gt;0,Calculator!$B$13,0)+E839+Calculator!$B$14,'Tax Tables'!$B$36)</f>
        <v>1000</v>
      </c>
      <c r="L839" s="11" t="n">
        <f aca="false">MAX(A839-K839,0)</f>
        <v>412000</v>
      </c>
      <c r="M839" s="11" t="n">
        <f aca="false">SUMPRODUCT((L839&gt;'Tax Tables'!$A$5:$A$17)*(L839-'Tax Tables'!$A$5:$A$17)*'Tax Tables'!$C$5:$C$17)</f>
        <v>64790</v>
      </c>
      <c r="N839" s="11" t="n">
        <f aca="false">IF(H839&lt;0,-1E+099,A839-E839-M839+J839+(E839+F839)*Calculator!$B$9)</f>
        <v>-1E+099</v>
      </c>
      <c r="O839" s="2"/>
      <c r="P839" s="11" t="n">
        <f aca="false">826*$B$3</f>
        <v>413000</v>
      </c>
      <c r="Q839" s="11" t="n">
        <f aca="false">MIN(P839,'Tax Tables'!$B$31*'Tax Tables'!$B$32)</f>
        <v>96000</v>
      </c>
      <c r="R839" s="11" t="n">
        <f aca="false">P839-Q839</f>
        <v>317000</v>
      </c>
      <c r="S839" s="11" t="n">
        <f aca="false">IF(Calculator!$B$6="Yes",MIN(Q839,'Tax Tables'!$B$31*'Tax Tables'!$B$32),0)</f>
        <v>96000</v>
      </c>
      <c r="T839" s="11" t="n">
        <f aca="false">S839*Calculator!$B$7</f>
        <v>19200</v>
      </c>
      <c r="U839" s="11" t="n">
        <f aca="false">S839*Calculator!$B$8</f>
        <v>16320</v>
      </c>
      <c r="V839" s="11" t="n">
        <f aca="false">IF(Q839&gt;0,'Tax Tables'!$B$32*MIN(MAX(Q839/'Tax Tables'!$B$32*'Tax Tables'!$B$33,'Tax Tables'!$B$34),'Tax Tables'!$B$35),0)</f>
        <v>135</v>
      </c>
      <c r="W839" s="11" t="n">
        <f aca="false">Calculator!$B$5-P839-U839-V839</f>
        <v>-29455</v>
      </c>
      <c r="X839" s="11" t="n">
        <f aca="false">'Tax Tables'!$B$22*(MAX(W839,0)-IF(Calculator!$B$10="Yes",MIN(MAX(W839,0),'Tax Tables'!$B$27)*'Tax Tables'!$B$28+MIN(MAX(MAX(W839,0)-'Tax Tables'!$B$27,0),'Tax Tables'!$B$29)*'Tax Tables'!$B$30,MIN(MAX(W839,0),'Tax Tables'!$B$23)*'Tax Tables'!$B$24+MIN(MAX(MAX(W839,0)-'Tax Tables'!$B$23,0),'Tax Tables'!$B$25)*'Tax Tables'!$B$26))*1-MIN('Tax Tables'!$B$22*(MAX(W839,0)-IF(Calculator!$B$10="Yes",MIN(MAX(W839,0),'Tax Tables'!$B$27)*'Tax Tables'!$B$28+MIN(MAX(MAX(W839,0)-'Tax Tables'!$B$27,0),'Tax Tables'!$B$29)*'Tax Tables'!$B$30,MIN(MAX(W839,0),'Tax Tables'!$B$23)*'Tax Tables'!$B$24+MIN(MAX(MAX(W839,0)-'Tax Tables'!$B$23,0),'Tax Tables'!$B$25)*'Tax Tables'!$B$26))*Calculator!$B$11,Calculator!$B$12)</f>
        <v>0</v>
      </c>
      <c r="Y839" s="11" t="n">
        <f aca="false">MAX(W839,0)-X839</f>
        <v>0</v>
      </c>
      <c r="Z839" s="11" t="n">
        <f aca="false">MIN(IF(P839&gt;0,Calculator!$B$13,0)+T839+Calculator!$B$14,'Tax Tables'!$B$36)</f>
        <v>20200</v>
      </c>
      <c r="AA839" s="11" t="n">
        <f aca="false">MAX(P839-Z839,0)</f>
        <v>392800</v>
      </c>
      <c r="AB839" s="11" t="n">
        <f aca="false">SUMPRODUCT((AA839&gt;'Tax Tables'!$A$5:$A$17)*(AA839-'Tax Tables'!$A$5:$A$17)*'Tax Tables'!$C$5:$C$17)</f>
        <v>60566</v>
      </c>
      <c r="AC839" s="11" t="n">
        <f aca="false">IF(W839&lt;0,-1E+099,P839-T839-AB839+Y839+(T839+U839)*Calculator!$B$9)</f>
        <v>-1E+099</v>
      </c>
    </row>
    <row r="840" customFormat="false" ht="15" hidden="false" customHeight="false" outlineLevel="0" collapsed="false">
      <c r="A840" s="11" t="n">
        <f aca="false">827*$B$3</f>
        <v>413500</v>
      </c>
      <c r="B840" s="11" t="n">
        <f aca="false">0</f>
        <v>0</v>
      </c>
      <c r="C840" s="11" t="n">
        <f aca="false">A840-B840</f>
        <v>413500</v>
      </c>
      <c r="D840" s="11" t="n">
        <f aca="false">IF(Calculator!$B$6="Yes",MIN(B840,'Tax Tables'!$B$31*'Tax Tables'!$B$32),0)</f>
        <v>0</v>
      </c>
      <c r="E840" s="11" t="n">
        <f aca="false">D840*Calculator!$B$7</f>
        <v>0</v>
      </c>
      <c r="F840" s="11" t="n">
        <f aca="false">D840*Calculator!$B$8</f>
        <v>0</v>
      </c>
      <c r="G840" s="11" t="n">
        <f aca="false">IF(B840&gt;0,'Tax Tables'!$B$32*MIN(MAX(B840/'Tax Tables'!$B$32*'Tax Tables'!$B$33,'Tax Tables'!$B$34),'Tax Tables'!$B$35),0)</f>
        <v>0</v>
      </c>
      <c r="H840" s="11" t="n">
        <f aca="false">Calculator!$B$5-A840-F840-G840</f>
        <v>-13500</v>
      </c>
      <c r="I840" s="11" t="n">
        <f aca="false">'Tax Tables'!$B$22*(MAX(H840,0)-IF(Calculator!$B$10="Yes",MIN(MAX(H840,0),'Tax Tables'!$B$27)*'Tax Tables'!$B$28+MIN(MAX(MAX(H840,0)-'Tax Tables'!$B$27,0),'Tax Tables'!$B$29)*'Tax Tables'!$B$30,MIN(MAX(H840,0),'Tax Tables'!$B$23)*'Tax Tables'!$B$24+MIN(MAX(MAX(H840,0)-'Tax Tables'!$B$23,0),'Tax Tables'!$B$25)*'Tax Tables'!$B$26))*1-MIN('Tax Tables'!$B$22*(MAX(H840,0)-IF(Calculator!$B$10="Yes",MIN(MAX(H840,0),'Tax Tables'!$B$27)*'Tax Tables'!$B$28+MIN(MAX(MAX(H840,0)-'Tax Tables'!$B$27,0),'Tax Tables'!$B$29)*'Tax Tables'!$B$30,MIN(MAX(H840,0),'Tax Tables'!$B$23)*'Tax Tables'!$B$24+MIN(MAX(MAX(H840,0)-'Tax Tables'!$B$23,0),'Tax Tables'!$B$25)*'Tax Tables'!$B$26))*Calculator!$B$11,Calculator!$B$12)</f>
        <v>0</v>
      </c>
      <c r="J840" s="11" t="n">
        <f aca="false">MAX(H840,0)-I840</f>
        <v>0</v>
      </c>
      <c r="K840" s="11" t="n">
        <f aca="false">MIN(IF(A840&gt;0,Calculator!$B$13,0)+E840+Calculator!$B$14,'Tax Tables'!$B$36)</f>
        <v>1000</v>
      </c>
      <c r="L840" s="11" t="n">
        <f aca="false">MAX(A840-K840,0)</f>
        <v>412500</v>
      </c>
      <c r="M840" s="11" t="n">
        <f aca="false">SUMPRODUCT((L840&gt;'Tax Tables'!$A$5:$A$17)*(L840-'Tax Tables'!$A$5:$A$17)*'Tax Tables'!$C$5:$C$17)</f>
        <v>64900</v>
      </c>
      <c r="N840" s="11" t="n">
        <f aca="false">IF(H840&lt;0,-1E+099,A840-E840-M840+J840+(E840+F840)*Calculator!$B$9)</f>
        <v>-1E+099</v>
      </c>
      <c r="O840" s="2"/>
      <c r="P840" s="11" t="n">
        <f aca="false">827*$B$3</f>
        <v>413500</v>
      </c>
      <c r="Q840" s="11" t="n">
        <f aca="false">MIN(P840,'Tax Tables'!$B$31*'Tax Tables'!$B$32)</f>
        <v>96000</v>
      </c>
      <c r="R840" s="11" t="n">
        <f aca="false">P840-Q840</f>
        <v>317500</v>
      </c>
      <c r="S840" s="11" t="n">
        <f aca="false">IF(Calculator!$B$6="Yes",MIN(Q840,'Tax Tables'!$B$31*'Tax Tables'!$B$32),0)</f>
        <v>96000</v>
      </c>
      <c r="T840" s="11" t="n">
        <f aca="false">S840*Calculator!$B$7</f>
        <v>19200</v>
      </c>
      <c r="U840" s="11" t="n">
        <f aca="false">S840*Calculator!$B$8</f>
        <v>16320</v>
      </c>
      <c r="V840" s="11" t="n">
        <f aca="false">IF(Q840&gt;0,'Tax Tables'!$B$32*MIN(MAX(Q840/'Tax Tables'!$B$32*'Tax Tables'!$B$33,'Tax Tables'!$B$34),'Tax Tables'!$B$35),0)</f>
        <v>135</v>
      </c>
      <c r="W840" s="11" t="n">
        <f aca="false">Calculator!$B$5-P840-U840-V840</f>
        <v>-29955</v>
      </c>
      <c r="X840" s="11" t="n">
        <f aca="false">'Tax Tables'!$B$22*(MAX(W840,0)-IF(Calculator!$B$10="Yes",MIN(MAX(W840,0),'Tax Tables'!$B$27)*'Tax Tables'!$B$28+MIN(MAX(MAX(W840,0)-'Tax Tables'!$B$27,0),'Tax Tables'!$B$29)*'Tax Tables'!$B$30,MIN(MAX(W840,0),'Tax Tables'!$B$23)*'Tax Tables'!$B$24+MIN(MAX(MAX(W840,0)-'Tax Tables'!$B$23,0),'Tax Tables'!$B$25)*'Tax Tables'!$B$26))*1-MIN('Tax Tables'!$B$22*(MAX(W840,0)-IF(Calculator!$B$10="Yes",MIN(MAX(W840,0),'Tax Tables'!$B$27)*'Tax Tables'!$B$28+MIN(MAX(MAX(W840,0)-'Tax Tables'!$B$27,0),'Tax Tables'!$B$29)*'Tax Tables'!$B$30,MIN(MAX(W840,0),'Tax Tables'!$B$23)*'Tax Tables'!$B$24+MIN(MAX(MAX(W840,0)-'Tax Tables'!$B$23,0),'Tax Tables'!$B$25)*'Tax Tables'!$B$26))*Calculator!$B$11,Calculator!$B$12)</f>
        <v>0</v>
      </c>
      <c r="Y840" s="11" t="n">
        <f aca="false">MAX(W840,0)-X840</f>
        <v>0</v>
      </c>
      <c r="Z840" s="11" t="n">
        <f aca="false">MIN(IF(P840&gt;0,Calculator!$B$13,0)+T840+Calculator!$B$14,'Tax Tables'!$B$36)</f>
        <v>20200</v>
      </c>
      <c r="AA840" s="11" t="n">
        <f aca="false">MAX(P840-Z840,0)</f>
        <v>393300</v>
      </c>
      <c r="AB840" s="11" t="n">
        <f aca="false">SUMPRODUCT((AA840&gt;'Tax Tables'!$A$5:$A$17)*(AA840-'Tax Tables'!$A$5:$A$17)*'Tax Tables'!$C$5:$C$17)</f>
        <v>60676</v>
      </c>
      <c r="AC840" s="11" t="n">
        <f aca="false">IF(W840&lt;0,-1E+099,P840-T840-AB840+Y840+(T840+U840)*Calculator!$B$9)</f>
        <v>-1E+099</v>
      </c>
    </row>
    <row r="841" customFormat="false" ht="15" hidden="false" customHeight="false" outlineLevel="0" collapsed="false">
      <c r="A841" s="11" t="n">
        <f aca="false">828*$B$3</f>
        <v>414000</v>
      </c>
      <c r="B841" s="11" t="n">
        <f aca="false">0</f>
        <v>0</v>
      </c>
      <c r="C841" s="11" t="n">
        <f aca="false">A841-B841</f>
        <v>414000</v>
      </c>
      <c r="D841" s="11" t="n">
        <f aca="false">IF(Calculator!$B$6="Yes",MIN(B841,'Tax Tables'!$B$31*'Tax Tables'!$B$32),0)</f>
        <v>0</v>
      </c>
      <c r="E841" s="11" t="n">
        <f aca="false">D841*Calculator!$B$7</f>
        <v>0</v>
      </c>
      <c r="F841" s="11" t="n">
        <f aca="false">D841*Calculator!$B$8</f>
        <v>0</v>
      </c>
      <c r="G841" s="11" t="n">
        <f aca="false">IF(B841&gt;0,'Tax Tables'!$B$32*MIN(MAX(B841/'Tax Tables'!$B$32*'Tax Tables'!$B$33,'Tax Tables'!$B$34),'Tax Tables'!$B$35),0)</f>
        <v>0</v>
      </c>
      <c r="H841" s="11" t="n">
        <f aca="false">Calculator!$B$5-A841-F841-G841</f>
        <v>-14000</v>
      </c>
      <c r="I841" s="11" t="n">
        <f aca="false">'Tax Tables'!$B$22*(MAX(H841,0)-IF(Calculator!$B$10="Yes",MIN(MAX(H841,0),'Tax Tables'!$B$27)*'Tax Tables'!$B$28+MIN(MAX(MAX(H841,0)-'Tax Tables'!$B$27,0),'Tax Tables'!$B$29)*'Tax Tables'!$B$30,MIN(MAX(H841,0),'Tax Tables'!$B$23)*'Tax Tables'!$B$24+MIN(MAX(MAX(H841,0)-'Tax Tables'!$B$23,0),'Tax Tables'!$B$25)*'Tax Tables'!$B$26))*1-MIN('Tax Tables'!$B$22*(MAX(H841,0)-IF(Calculator!$B$10="Yes",MIN(MAX(H841,0),'Tax Tables'!$B$27)*'Tax Tables'!$B$28+MIN(MAX(MAX(H841,0)-'Tax Tables'!$B$27,0),'Tax Tables'!$B$29)*'Tax Tables'!$B$30,MIN(MAX(H841,0),'Tax Tables'!$B$23)*'Tax Tables'!$B$24+MIN(MAX(MAX(H841,0)-'Tax Tables'!$B$23,0),'Tax Tables'!$B$25)*'Tax Tables'!$B$26))*Calculator!$B$11,Calculator!$B$12)</f>
        <v>0</v>
      </c>
      <c r="J841" s="11" t="n">
        <f aca="false">MAX(H841,0)-I841</f>
        <v>0</v>
      </c>
      <c r="K841" s="11" t="n">
        <f aca="false">MIN(IF(A841&gt;0,Calculator!$B$13,0)+E841+Calculator!$B$14,'Tax Tables'!$B$36)</f>
        <v>1000</v>
      </c>
      <c r="L841" s="11" t="n">
        <f aca="false">MAX(A841-K841,0)</f>
        <v>413000</v>
      </c>
      <c r="M841" s="11" t="n">
        <f aca="false">SUMPRODUCT((L841&gt;'Tax Tables'!$A$5:$A$17)*(L841-'Tax Tables'!$A$5:$A$17)*'Tax Tables'!$C$5:$C$17)</f>
        <v>65010</v>
      </c>
      <c r="N841" s="11" t="n">
        <f aca="false">IF(H841&lt;0,-1E+099,A841-E841-M841+J841+(E841+F841)*Calculator!$B$9)</f>
        <v>-1E+099</v>
      </c>
      <c r="O841" s="2"/>
      <c r="P841" s="11" t="n">
        <f aca="false">828*$B$3</f>
        <v>414000</v>
      </c>
      <c r="Q841" s="11" t="n">
        <f aca="false">MIN(P841,'Tax Tables'!$B$31*'Tax Tables'!$B$32)</f>
        <v>96000</v>
      </c>
      <c r="R841" s="11" t="n">
        <f aca="false">P841-Q841</f>
        <v>318000</v>
      </c>
      <c r="S841" s="11" t="n">
        <f aca="false">IF(Calculator!$B$6="Yes",MIN(Q841,'Tax Tables'!$B$31*'Tax Tables'!$B$32),0)</f>
        <v>96000</v>
      </c>
      <c r="T841" s="11" t="n">
        <f aca="false">S841*Calculator!$B$7</f>
        <v>19200</v>
      </c>
      <c r="U841" s="11" t="n">
        <f aca="false">S841*Calculator!$B$8</f>
        <v>16320</v>
      </c>
      <c r="V841" s="11" t="n">
        <f aca="false">IF(Q841&gt;0,'Tax Tables'!$B$32*MIN(MAX(Q841/'Tax Tables'!$B$32*'Tax Tables'!$B$33,'Tax Tables'!$B$34),'Tax Tables'!$B$35),0)</f>
        <v>135</v>
      </c>
      <c r="W841" s="11" t="n">
        <f aca="false">Calculator!$B$5-P841-U841-V841</f>
        <v>-30455</v>
      </c>
      <c r="X841" s="11" t="n">
        <f aca="false">'Tax Tables'!$B$22*(MAX(W841,0)-IF(Calculator!$B$10="Yes",MIN(MAX(W841,0),'Tax Tables'!$B$27)*'Tax Tables'!$B$28+MIN(MAX(MAX(W841,0)-'Tax Tables'!$B$27,0),'Tax Tables'!$B$29)*'Tax Tables'!$B$30,MIN(MAX(W841,0),'Tax Tables'!$B$23)*'Tax Tables'!$B$24+MIN(MAX(MAX(W841,0)-'Tax Tables'!$B$23,0),'Tax Tables'!$B$25)*'Tax Tables'!$B$26))*1-MIN('Tax Tables'!$B$22*(MAX(W841,0)-IF(Calculator!$B$10="Yes",MIN(MAX(W841,0),'Tax Tables'!$B$27)*'Tax Tables'!$B$28+MIN(MAX(MAX(W841,0)-'Tax Tables'!$B$27,0),'Tax Tables'!$B$29)*'Tax Tables'!$B$30,MIN(MAX(W841,0),'Tax Tables'!$B$23)*'Tax Tables'!$B$24+MIN(MAX(MAX(W841,0)-'Tax Tables'!$B$23,0),'Tax Tables'!$B$25)*'Tax Tables'!$B$26))*Calculator!$B$11,Calculator!$B$12)</f>
        <v>0</v>
      </c>
      <c r="Y841" s="11" t="n">
        <f aca="false">MAX(W841,0)-X841</f>
        <v>0</v>
      </c>
      <c r="Z841" s="11" t="n">
        <f aca="false">MIN(IF(P841&gt;0,Calculator!$B$13,0)+T841+Calculator!$B$14,'Tax Tables'!$B$36)</f>
        <v>20200</v>
      </c>
      <c r="AA841" s="11" t="n">
        <f aca="false">MAX(P841-Z841,0)</f>
        <v>393800</v>
      </c>
      <c r="AB841" s="11" t="n">
        <f aca="false">SUMPRODUCT((AA841&gt;'Tax Tables'!$A$5:$A$17)*(AA841-'Tax Tables'!$A$5:$A$17)*'Tax Tables'!$C$5:$C$17)</f>
        <v>60786</v>
      </c>
      <c r="AC841" s="11" t="n">
        <f aca="false">IF(W841&lt;0,-1E+099,P841-T841-AB841+Y841+(T841+U841)*Calculator!$B$9)</f>
        <v>-1E+099</v>
      </c>
    </row>
    <row r="842" customFormat="false" ht="15" hidden="false" customHeight="false" outlineLevel="0" collapsed="false">
      <c r="A842" s="11" t="n">
        <f aca="false">829*$B$3</f>
        <v>414500</v>
      </c>
      <c r="B842" s="11" t="n">
        <f aca="false">0</f>
        <v>0</v>
      </c>
      <c r="C842" s="11" t="n">
        <f aca="false">A842-B842</f>
        <v>414500</v>
      </c>
      <c r="D842" s="11" t="n">
        <f aca="false">IF(Calculator!$B$6="Yes",MIN(B842,'Tax Tables'!$B$31*'Tax Tables'!$B$32),0)</f>
        <v>0</v>
      </c>
      <c r="E842" s="11" t="n">
        <f aca="false">D842*Calculator!$B$7</f>
        <v>0</v>
      </c>
      <c r="F842" s="11" t="n">
        <f aca="false">D842*Calculator!$B$8</f>
        <v>0</v>
      </c>
      <c r="G842" s="11" t="n">
        <f aca="false">IF(B842&gt;0,'Tax Tables'!$B$32*MIN(MAX(B842/'Tax Tables'!$B$32*'Tax Tables'!$B$33,'Tax Tables'!$B$34),'Tax Tables'!$B$35),0)</f>
        <v>0</v>
      </c>
      <c r="H842" s="11" t="n">
        <f aca="false">Calculator!$B$5-A842-F842-G842</f>
        <v>-14500</v>
      </c>
      <c r="I842" s="11" t="n">
        <f aca="false">'Tax Tables'!$B$22*(MAX(H842,0)-IF(Calculator!$B$10="Yes",MIN(MAX(H842,0),'Tax Tables'!$B$27)*'Tax Tables'!$B$28+MIN(MAX(MAX(H842,0)-'Tax Tables'!$B$27,0),'Tax Tables'!$B$29)*'Tax Tables'!$B$30,MIN(MAX(H842,0),'Tax Tables'!$B$23)*'Tax Tables'!$B$24+MIN(MAX(MAX(H842,0)-'Tax Tables'!$B$23,0),'Tax Tables'!$B$25)*'Tax Tables'!$B$26))*1-MIN('Tax Tables'!$B$22*(MAX(H842,0)-IF(Calculator!$B$10="Yes",MIN(MAX(H842,0),'Tax Tables'!$B$27)*'Tax Tables'!$B$28+MIN(MAX(MAX(H842,0)-'Tax Tables'!$B$27,0),'Tax Tables'!$B$29)*'Tax Tables'!$B$30,MIN(MAX(H842,0),'Tax Tables'!$B$23)*'Tax Tables'!$B$24+MIN(MAX(MAX(H842,0)-'Tax Tables'!$B$23,0),'Tax Tables'!$B$25)*'Tax Tables'!$B$26))*Calculator!$B$11,Calculator!$B$12)</f>
        <v>0</v>
      </c>
      <c r="J842" s="11" t="n">
        <f aca="false">MAX(H842,0)-I842</f>
        <v>0</v>
      </c>
      <c r="K842" s="11" t="n">
        <f aca="false">MIN(IF(A842&gt;0,Calculator!$B$13,0)+E842+Calculator!$B$14,'Tax Tables'!$B$36)</f>
        <v>1000</v>
      </c>
      <c r="L842" s="11" t="n">
        <f aca="false">MAX(A842-K842,0)</f>
        <v>413500</v>
      </c>
      <c r="M842" s="11" t="n">
        <f aca="false">SUMPRODUCT((L842&gt;'Tax Tables'!$A$5:$A$17)*(L842-'Tax Tables'!$A$5:$A$17)*'Tax Tables'!$C$5:$C$17)</f>
        <v>65120</v>
      </c>
      <c r="N842" s="11" t="n">
        <f aca="false">IF(H842&lt;0,-1E+099,A842-E842-M842+J842+(E842+F842)*Calculator!$B$9)</f>
        <v>-1E+099</v>
      </c>
      <c r="O842" s="2"/>
      <c r="P842" s="11" t="n">
        <f aca="false">829*$B$3</f>
        <v>414500</v>
      </c>
      <c r="Q842" s="11" t="n">
        <f aca="false">MIN(P842,'Tax Tables'!$B$31*'Tax Tables'!$B$32)</f>
        <v>96000</v>
      </c>
      <c r="R842" s="11" t="n">
        <f aca="false">P842-Q842</f>
        <v>318500</v>
      </c>
      <c r="S842" s="11" t="n">
        <f aca="false">IF(Calculator!$B$6="Yes",MIN(Q842,'Tax Tables'!$B$31*'Tax Tables'!$B$32),0)</f>
        <v>96000</v>
      </c>
      <c r="T842" s="11" t="n">
        <f aca="false">S842*Calculator!$B$7</f>
        <v>19200</v>
      </c>
      <c r="U842" s="11" t="n">
        <f aca="false">S842*Calculator!$B$8</f>
        <v>16320</v>
      </c>
      <c r="V842" s="11" t="n">
        <f aca="false">IF(Q842&gt;0,'Tax Tables'!$B$32*MIN(MAX(Q842/'Tax Tables'!$B$32*'Tax Tables'!$B$33,'Tax Tables'!$B$34),'Tax Tables'!$B$35),0)</f>
        <v>135</v>
      </c>
      <c r="W842" s="11" t="n">
        <f aca="false">Calculator!$B$5-P842-U842-V842</f>
        <v>-30955</v>
      </c>
      <c r="X842" s="11" t="n">
        <f aca="false">'Tax Tables'!$B$22*(MAX(W842,0)-IF(Calculator!$B$10="Yes",MIN(MAX(W842,0),'Tax Tables'!$B$27)*'Tax Tables'!$B$28+MIN(MAX(MAX(W842,0)-'Tax Tables'!$B$27,0),'Tax Tables'!$B$29)*'Tax Tables'!$B$30,MIN(MAX(W842,0),'Tax Tables'!$B$23)*'Tax Tables'!$B$24+MIN(MAX(MAX(W842,0)-'Tax Tables'!$B$23,0),'Tax Tables'!$B$25)*'Tax Tables'!$B$26))*1-MIN('Tax Tables'!$B$22*(MAX(W842,0)-IF(Calculator!$B$10="Yes",MIN(MAX(W842,0),'Tax Tables'!$B$27)*'Tax Tables'!$B$28+MIN(MAX(MAX(W842,0)-'Tax Tables'!$B$27,0),'Tax Tables'!$B$29)*'Tax Tables'!$B$30,MIN(MAX(W842,0),'Tax Tables'!$B$23)*'Tax Tables'!$B$24+MIN(MAX(MAX(W842,0)-'Tax Tables'!$B$23,0),'Tax Tables'!$B$25)*'Tax Tables'!$B$26))*Calculator!$B$11,Calculator!$B$12)</f>
        <v>0</v>
      </c>
      <c r="Y842" s="11" t="n">
        <f aca="false">MAX(W842,0)-X842</f>
        <v>0</v>
      </c>
      <c r="Z842" s="11" t="n">
        <f aca="false">MIN(IF(P842&gt;0,Calculator!$B$13,0)+T842+Calculator!$B$14,'Tax Tables'!$B$36)</f>
        <v>20200</v>
      </c>
      <c r="AA842" s="11" t="n">
        <f aca="false">MAX(P842-Z842,0)</f>
        <v>394300</v>
      </c>
      <c r="AB842" s="11" t="n">
        <f aca="false">SUMPRODUCT((AA842&gt;'Tax Tables'!$A$5:$A$17)*(AA842-'Tax Tables'!$A$5:$A$17)*'Tax Tables'!$C$5:$C$17)</f>
        <v>60896</v>
      </c>
      <c r="AC842" s="11" t="n">
        <f aca="false">IF(W842&lt;0,-1E+099,P842-T842-AB842+Y842+(T842+U842)*Calculator!$B$9)</f>
        <v>-1E+099</v>
      </c>
    </row>
    <row r="843" customFormat="false" ht="15" hidden="false" customHeight="false" outlineLevel="0" collapsed="false">
      <c r="A843" s="11" t="n">
        <f aca="false">830*$B$3</f>
        <v>415000</v>
      </c>
      <c r="B843" s="11" t="n">
        <f aca="false">0</f>
        <v>0</v>
      </c>
      <c r="C843" s="11" t="n">
        <f aca="false">A843-B843</f>
        <v>415000</v>
      </c>
      <c r="D843" s="11" t="n">
        <f aca="false">IF(Calculator!$B$6="Yes",MIN(B843,'Tax Tables'!$B$31*'Tax Tables'!$B$32),0)</f>
        <v>0</v>
      </c>
      <c r="E843" s="11" t="n">
        <f aca="false">D843*Calculator!$B$7</f>
        <v>0</v>
      </c>
      <c r="F843" s="11" t="n">
        <f aca="false">D843*Calculator!$B$8</f>
        <v>0</v>
      </c>
      <c r="G843" s="11" t="n">
        <f aca="false">IF(B843&gt;0,'Tax Tables'!$B$32*MIN(MAX(B843/'Tax Tables'!$B$32*'Tax Tables'!$B$33,'Tax Tables'!$B$34),'Tax Tables'!$B$35),0)</f>
        <v>0</v>
      </c>
      <c r="H843" s="11" t="n">
        <f aca="false">Calculator!$B$5-A843-F843-G843</f>
        <v>-15000</v>
      </c>
      <c r="I843" s="11" t="n">
        <f aca="false">'Tax Tables'!$B$22*(MAX(H843,0)-IF(Calculator!$B$10="Yes",MIN(MAX(H843,0),'Tax Tables'!$B$27)*'Tax Tables'!$B$28+MIN(MAX(MAX(H843,0)-'Tax Tables'!$B$27,0),'Tax Tables'!$B$29)*'Tax Tables'!$B$30,MIN(MAX(H843,0),'Tax Tables'!$B$23)*'Tax Tables'!$B$24+MIN(MAX(MAX(H843,0)-'Tax Tables'!$B$23,0),'Tax Tables'!$B$25)*'Tax Tables'!$B$26))*1-MIN('Tax Tables'!$B$22*(MAX(H843,0)-IF(Calculator!$B$10="Yes",MIN(MAX(H843,0),'Tax Tables'!$B$27)*'Tax Tables'!$B$28+MIN(MAX(MAX(H843,0)-'Tax Tables'!$B$27,0),'Tax Tables'!$B$29)*'Tax Tables'!$B$30,MIN(MAX(H843,0),'Tax Tables'!$B$23)*'Tax Tables'!$B$24+MIN(MAX(MAX(H843,0)-'Tax Tables'!$B$23,0),'Tax Tables'!$B$25)*'Tax Tables'!$B$26))*Calculator!$B$11,Calculator!$B$12)</f>
        <v>0</v>
      </c>
      <c r="J843" s="11" t="n">
        <f aca="false">MAX(H843,0)-I843</f>
        <v>0</v>
      </c>
      <c r="K843" s="11" t="n">
        <f aca="false">MIN(IF(A843&gt;0,Calculator!$B$13,0)+E843+Calculator!$B$14,'Tax Tables'!$B$36)</f>
        <v>1000</v>
      </c>
      <c r="L843" s="11" t="n">
        <f aca="false">MAX(A843-K843,0)</f>
        <v>414000</v>
      </c>
      <c r="M843" s="11" t="n">
        <f aca="false">SUMPRODUCT((L843&gt;'Tax Tables'!$A$5:$A$17)*(L843-'Tax Tables'!$A$5:$A$17)*'Tax Tables'!$C$5:$C$17)</f>
        <v>65230</v>
      </c>
      <c r="N843" s="11" t="n">
        <f aca="false">IF(H843&lt;0,-1E+099,A843-E843-M843+J843+(E843+F843)*Calculator!$B$9)</f>
        <v>-1E+099</v>
      </c>
      <c r="O843" s="2"/>
      <c r="P843" s="11" t="n">
        <f aca="false">830*$B$3</f>
        <v>415000</v>
      </c>
      <c r="Q843" s="11" t="n">
        <f aca="false">MIN(P843,'Tax Tables'!$B$31*'Tax Tables'!$B$32)</f>
        <v>96000</v>
      </c>
      <c r="R843" s="11" t="n">
        <f aca="false">P843-Q843</f>
        <v>319000</v>
      </c>
      <c r="S843" s="11" t="n">
        <f aca="false">IF(Calculator!$B$6="Yes",MIN(Q843,'Tax Tables'!$B$31*'Tax Tables'!$B$32),0)</f>
        <v>96000</v>
      </c>
      <c r="T843" s="11" t="n">
        <f aca="false">S843*Calculator!$B$7</f>
        <v>19200</v>
      </c>
      <c r="U843" s="11" t="n">
        <f aca="false">S843*Calculator!$B$8</f>
        <v>16320</v>
      </c>
      <c r="V843" s="11" t="n">
        <f aca="false">IF(Q843&gt;0,'Tax Tables'!$B$32*MIN(MAX(Q843/'Tax Tables'!$B$32*'Tax Tables'!$B$33,'Tax Tables'!$B$34),'Tax Tables'!$B$35),0)</f>
        <v>135</v>
      </c>
      <c r="W843" s="11" t="n">
        <f aca="false">Calculator!$B$5-P843-U843-V843</f>
        <v>-31455</v>
      </c>
      <c r="X843" s="11" t="n">
        <f aca="false">'Tax Tables'!$B$22*(MAX(W843,0)-IF(Calculator!$B$10="Yes",MIN(MAX(W843,0),'Tax Tables'!$B$27)*'Tax Tables'!$B$28+MIN(MAX(MAX(W843,0)-'Tax Tables'!$B$27,0),'Tax Tables'!$B$29)*'Tax Tables'!$B$30,MIN(MAX(W843,0),'Tax Tables'!$B$23)*'Tax Tables'!$B$24+MIN(MAX(MAX(W843,0)-'Tax Tables'!$B$23,0),'Tax Tables'!$B$25)*'Tax Tables'!$B$26))*1-MIN('Tax Tables'!$B$22*(MAX(W843,0)-IF(Calculator!$B$10="Yes",MIN(MAX(W843,0),'Tax Tables'!$B$27)*'Tax Tables'!$B$28+MIN(MAX(MAX(W843,0)-'Tax Tables'!$B$27,0),'Tax Tables'!$B$29)*'Tax Tables'!$B$30,MIN(MAX(W843,0),'Tax Tables'!$B$23)*'Tax Tables'!$B$24+MIN(MAX(MAX(W843,0)-'Tax Tables'!$B$23,0),'Tax Tables'!$B$25)*'Tax Tables'!$B$26))*Calculator!$B$11,Calculator!$B$12)</f>
        <v>0</v>
      </c>
      <c r="Y843" s="11" t="n">
        <f aca="false">MAX(W843,0)-X843</f>
        <v>0</v>
      </c>
      <c r="Z843" s="11" t="n">
        <f aca="false">MIN(IF(P843&gt;0,Calculator!$B$13,0)+T843+Calculator!$B$14,'Tax Tables'!$B$36)</f>
        <v>20200</v>
      </c>
      <c r="AA843" s="11" t="n">
        <f aca="false">MAX(P843-Z843,0)</f>
        <v>394800</v>
      </c>
      <c r="AB843" s="11" t="n">
        <f aca="false">SUMPRODUCT((AA843&gt;'Tax Tables'!$A$5:$A$17)*(AA843-'Tax Tables'!$A$5:$A$17)*'Tax Tables'!$C$5:$C$17)</f>
        <v>61006</v>
      </c>
      <c r="AC843" s="11" t="n">
        <f aca="false">IF(W843&lt;0,-1E+099,P843-T843-AB843+Y843+(T843+U843)*Calculator!$B$9)</f>
        <v>-1E+099</v>
      </c>
    </row>
    <row r="844" customFormat="false" ht="15" hidden="false" customHeight="false" outlineLevel="0" collapsed="false">
      <c r="A844" s="11" t="n">
        <f aca="false">831*$B$3</f>
        <v>415500</v>
      </c>
      <c r="B844" s="11" t="n">
        <f aca="false">0</f>
        <v>0</v>
      </c>
      <c r="C844" s="11" t="n">
        <f aca="false">A844-B844</f>
        <v>415500</v>
      </c>
      <c r="D844" s="11" t="n">
        <f aca="false">IF(Calculator!$B$6="Yes",MIN(B844,'Tax Tables'!$B$31*'Tax Tables'!$B$32),0)</f>
        <v>0</v>
      </c>
      <c r="E844" s="11" t="n">
        <f aca="false">D844*Calculator!$B$7</f>
        <v>0</v>
      </c>
      <c r="F844" s="11" t="n">
        <f aca="false">D844*Calculator!$B$8</f>
        <v>0</v>
      </c>
      <c r="G844" s="11" t="n">
        <f aca="false">IF(B844&gt;0,'Tax Tables'!$B$32*MIN(MAX(B844/'Tax Tables'!$B$32*'Tax Tables'!$B$33,'Tax Tables'!$B$34),'Tax Tables'!$B$35),0)</f>
        <v>0</v>
      </c>
      <c r="H844" s="11" t="n">
        <f aca="false">Calculator!$B$5-A844-F844-G844</f>
        <v>-15500</v>
      </c>
      <c r="I844" s="11" t="n">
        <f aca="false">'Tax Tables'!$B$22*(MAX(H844,0)-IF(Calculator!$B$10="Yes",MIN(MAX(H844,0),'Tax Tables'!$B$27)*'Tax Tables'!$B$28+MIN(MAX(MAX(H844,0)-'Tax Tables'!$B$27,0),'Tax Tables'!$B$29)*'Tax Tables'!$B$30,MIN(MAX(H844,0),'Tax Tables'!$B$23)*'Tax Tables'!$B$24+MIN(MAX(MAX(H844,0)-'Tax Tables'!$B$23,0),'Tax Tables'!$B$25)*'Tax Tables'!$B$26))*1-MIN('Tax Tables'!$B$22*(MAX(H844,0)-IF(Calculator!$B$10="Yes",MIN(MAX(H844,0),'Tax Tables'!$B$27)*'Tax Tables'!$B$28+MIN(MAX(MAX(H844,0)-'Tax Tables'!$B$27,0),'Tax Tables'!$B$29)*'Tax Tables'!$B$30,MIN(MAX(H844,0),'Tax Tables'!$B$23)*'Tax Tables'!$B$24+MIN(MAX(MAX(H844,0)-'Tax Tables'!$B$23,0),'Tax Tables'!$B$25)*'Tax Tables'!$B$26))*Calculator!$B$11,Calculator!$B$12)</f>
        <v>0</v>
      </c>
      <c r="J844" s="11" t="n">
        <f aca="false">MAX(H844,0)-I844</f>
        <v>0</v>
      </c>
      <c r="K844" s="11" t="n">
        <f aca="false">MIN(IF(A844&gt;0,Calculator!$B$13,0)+E844+Calculator!$B$14,'Tax Tables'!$B$36)</f>
        <v>1000</v>
      </c>
      <c r="L844" s="11" t="n">
        <f aca="false">MAX(A844-K844,0)</f>
        <v>414500</v>
      </c>
      <c r="M844" s="11" t="n">
        <f aca="false">SUMPRODUCT((L844&gt;'Tax Tables'!$A$5:$A$17)*(L844-'Tax Tables'!$A$5:$A$17)*'Tax Tables'!$C$5:$C$17)</f>
        <v>65340</v>
      </c>
      <c r="N844" s="11" t="n">
        <f aca="false">IF(H844&lt;0,-1E+099,A844-E844-M844+J844+(E844+F844)*Calculator!$B$9)</f>
        <v>-1E+099</v>
      </c>
      <c r="O844" s="2"/>
      <c r="P844" s="11" t="n">
        <f aca="false">831*$B$3</f>
        <v>415500</v>
      </c>
      <c r="Q844" s="11" t="n">
        <f aca="false">MIN(P844,'Tax Tables'!$B$31*'Tax Tables'!$B$32)</f>
        <v>96000</v>
      </c>
      <c r="R844" s="11" t="n">
        <f aca="false">P844-Q844</f>
        <v>319500</v>
      </c>
      <c r="S844" s="11" t="n">
        <f aca="false">IF(Calculator!$B$6="Yes",MIN(Q844,'Tax Tables'!$B$31*'Tax Tables'!$B$32),0)</f>
        <v>96000</v>
      </c>
      <c r="T844" s="11" t="n">
        <f aca="false">S844*Calculator!$B$7</f>
        <v>19200</v>
      </c>
      <c r="U844" s="11" t="n">
        <f aca="false">S844*Calculator!$B$8</f>
        <v>16320</v>
      </c>
      <c r="V844" s="11" t="n">
        <f aca="false">IF(Q844&gt;0,'Tax Tables'!$B$32*MIN(MAX(Q844/'Tax Tables'!$B$32*'Tax Tables'!$B$33,'Tax Tables'!$B$34),'Tax Tables'!$B$35),0)</f>
        <v>135</v>
      </c>
      <c r="W844" s="11" t="n">
        <f aca="false">Calculator!$B$5-P844-U844-V844</f>
        <v>-31955</v>
      </c>
      <c r="X844" s="11" t="n">
        <f aca="false">'Tax Tables'!$B$22*(MAX(W844,0)-IF(Calculator!$B$10="Yes",MIN(MAX(W844,0),'Tax Tables'!$B$27)*'Tax Tables'!$B$28+MIN(MAX(MAX(W844,0)-'Tax Tables'!$B$27,0),'Tax Tables'!$B$29)*'Tax Tables'!$B$30,MIN(MAX(W844,0),'Tax Tables'!$B$23)*'Tax Tables'!$B$24+MIN(MAX(MAX(W844,0)-'Tax Tables'!$B$23,0),'Tax Tables'!$B$25)*'Tax Tables'!$B$26))*1-MIN('Tax Tables'!$B$22*(MAX(W844,0)-IF(Calculator!$B$10="Yes",MIN(MAX(W844,0),'Tax Tables'!$B$27)*'Tax Tables'!$B$28+MIN(MAX(MAX(W844,0)-'Tax Tables'!$B$27,0),'Tax Tables'!$B$29)*'Tax Tables'!$B$30,MIN(MAX(W844,0),'Tax Tables'!$B$23)*'Tax Tables'!$B$24+MIN(MAX(MAX(W844,0)-'Tax Tables'!$B$23,0),'Tax Tables'!$B$25)*'Tax Tables'!$B$26))*Calculator!$B$11,Calculator!$B$12)</f>
        <v>0</v>
      </c>
      <c r="Y844" s="11" t="n">
        <f aca="false">MAX(W844,0)-X844</f>
        <v>0</v>
      </c>
      <c r="Z844" s="11" t="n">
        <f aca="false">MIN(IF(P844&gt;0,Calculator!$B$13,0)+T844+Calculator!$B$14,'Tax Tables'!$B$36)</f>
        <v>20200</v>
      </c>
      <c r="AA844" s="11" t="n">
        <f aca="false">MAX(P844-Z844,0)</f>
        <v>395300</v>
      </c>
      <c r="AB844" s="11" t="n">
        <f aca="false">SUMPRODUCT((AA844&gt;'Tax Tables'!$A$5:$A$17)*(AA844-'Tax Tables'!$A$5:$A$17)*'Tax Tables'!$C$5:$C$17)</f>
        <v>61116</v>
      </c>
      <c r="AC844" s="11" t="n">
        <f aca="false">IF(W844&lt;0,-1E+099,P844-T844-AB844+Y844+(T844+U844)*Calculator!$B$9)</f>
        <v>-1E+099</v>
      </c>
    </row>
    <row r="845" customFormat="false" ht="15" hidden="false" customHeight="false" outlineLevel="0" collapsed="false">
      <c r="A845" s="11" t="n">
        <f aca="false">832*$B$3</f>
        <v>416000</v>
      </c>
      <c r="B845" s="11" t="n">
        <f aca="false">0</f>
        <v>0</v>
      </c>
      <c r="C845" s="11" t="n">
        <f aca="false">A845-B845</f>
        <v>416000</v>
      </c>
      <c r="D845" s="11" t="n">
        <f aca="false">IF(Calculator!$B$6="Yes",MIN(B845,'Tax Tables'!$B$31*'Tax Tables'!$B$32),0)</f>
        <v>0</v>
      </c>
      <c r="E845" s="11" t="n">
        <f aca="false">D845*Calculator!$B$7</f>
        <v>0</v>
      </c>
      <c r="F845" s="11" t="n">
        <f aca="false">D845*Calculator!$B$8</f>
        <v>0</v>
      </c>
      <c r="G845" s="11" t="n">
        <f aca="false">IF(B845&gt;0,'Tax Tables'!$B$32*MIN(MAX(B845/'Tax Tables'!$B$32*'Tax Tables'!$B$33,'Tax Tables'!$B$34),'Tax Tables'!$B$35),0)</f>
        <v>0</v>
      </c>
      <c r="H845" s="11" t="n">
        <f aca="false">Calculator!$B$5-A845-F845-G845</f>
        <v>-16000</v>
      </c>
      <c r="I845" s="11" t="n">
        <f aca="false">'Tax Tables'!$B$22*(MAX(H845,0)-IF(Calculator!$B$10="Yes",MIN(MAX(H845,0),'Tax Tables'!$B$27)*'Tax Tables'!$B$28+MIN(MAX(MAX(H845,0)-'Tax Tables'!$B$27,0),'Tax Tables'!$B$29)*'Tax Tables'!$B$30,MIN(MAX(H845,0),'Tax Tables'!$B$23)*'Tax Tables'!$B$24+MIN(MAX(MAX(H845,0)-'Tax Tables'!$B$23,0),'Tax Tables'!$B$25)*'Tax Tables'!$B$26))*1-MIN('Tax Tables'!$B$22*(MAX(H845,0)-IF(Calculator!$B$10="Yes",MIN(MAX(H845,0),'Tax Tables'!$B$27)*'Tax Tables'!$B$28+MIN(MAX(MAX(H845,0)-'Tax Tables'!$B$27,0),'Tax Tables'!$B$29)*'Tax Tables'!$B$30,MIN(MAX(H845,0),'Tax Tables'!$B$23)*'Tax Tables'!$B$24+MIN(MAX(MAX(H845,0)-'Tax Tables'!$B$23,0),'Tax Tables'!$B$25)*'Tax Tables'!$B$26))*Calculator!$B$11,Calculator!$B$12)</f>
        <v>0</v>
      </c>
      <c r="J845" s="11" t="n">
        <f aca="false">MAX(H845,0)-I845</f>
        <v>0</v>
      </c>
      <c r="K845" s="11" t="n">
        <f aca="false">MIN(IF(A845&gt;0,Calculator!$B$13,0)+E845+Calculator!$B$14,'Tax Tables'!$B$36)</f>
        <v>1000</v>
      </c>
      <c r="L845" s="11" t="n">
        <f aca="false">MAX(A845-K845,0)</f>
        <v>415000</v>
      </c>
      <c r="M845" s="11" t="n">
        <f aca="false">SUMPRODUCT((L845&gt;'Tax Tables'!$A$5:$A$17)*(L845-'Tax Tables'!$A$5:$A$17)*'Tax Tables'!$C$5:$C$17)</f>
        <v>65450</v>
      </c>
      <c r="N845" s="11" t="n">
        <f aca="false">IF(H845&lt;0,-1E+099,A845-E845-M845+J845+(E845+F845)*Calculator!$B$9)</f>
        <v>-1E+099</v>
      </c>
      <c r="O845" s="2"/>
      <c r="P845" s="11" t="n">
        <f aca="false">832*$B$3</f>
        <v>416000</v>
      </c>
      <c r="Q845" s="11" t="n">
        <f aca="false">MIN(P845,'Tax Tables'!$B$31*'Tax Tables'!$B$32)</f>
        <v>96000</v>
      </c>
      <c r="R845" s="11" t="n">
        <f aca="false">P845-Q845</f>
        <v>320000</v>
      </c>
      <c r="S845" s="11" t="n">
        <f aca="false">IF(Calculator!$B$6="Yes",MIN(Q845,'Tax Tables'!$B$31*'Tax Tables'!$B$32),0)</f>
        <v>96000</v>
      </c>
      <c r="T845" s="11" t="n">
        <f aca="false">S845*Calculator!$B$7</f>
        <v>19200</v>
      </c>
      <c r="U845" s="11" t="n">
        <f aca="false">S845*Calculator!$B$8</f>
        <v>16320</v>
      </c>
      <c r="V845" s="11" t="n">
        <f aca="false">IF(Q845&gt;0,'Tax Tables'!$B$32*MIN(MAX(Q845/'Tax Tables'!$B$32*'Tax Tables'!$B$33,'Tax Tables'!$B$34),'Tax Tables'!$B$35),0)</f>
        <v>135</v>
      </c>
      <c r="W845" s="11" t="n">
        <f aca="false">Calculator!$B$5-P845-U845-V845</f>
        <v>-32455</v>
      </c>
      <c r="X845" s="11" t="n">
        <f aca="false">'Tax Tables'!$B$22*(MAX(W845,0)-IF(Calculator!$B$10="Yes",MIN(MAX(W845,0),'Tax Tables'!$B$27)*'Tax Tables'!$B$28+MIN(MAX(MAX(W845,0)-'Tax Tables'!$B$27,0),'Tax Tables'!$B$29)*'Tax Tables'!$B$30,MIN(MAX(W845,0),'Tax Tables'!$B$23)*'Tax Tables'!$B$24+MIN(MAX(MAX(W845,0)-'Tax Tables'!$B$23,0),'Tax Tables'!$B$25)*'Tax Tables'!$B$26))*1-MIN('Tax Tables'!$B$22*(MAX(W845,0)-IF(Calculator!$B$10="Yes",MIN(MAX(W845,0),'Tax Tables'!$B$27)*'Tax Tables'!$B$28+MIN(MAX(MAX(W845,0)-'Tax Tables'!$B$27,0),'Tax Tables'!$B$29)*'Tax Tables'!$B$30,MIN(MAX(W845,0),'Tax Tables'!$B$23)*'Tax Tables'!$B$24+MIN(MAX(MAX(W845,0)-'Tax Tables'!$B$23,0),'Tax Tables'!$B$25)*'Tax Tables'!$B$26))*Calculator!$B$11,Calculator!$B$12)</f>
        <v>0</v>
      </c>
      <c r="Y845" s="11" t="n">
        <f aca="false">MAX(W845,0)-X845</f>
        <v>0</v>
      </c>
      <c r="Z845" s="11" t="n">
        <f aca="false">MIN(IF(P845&gt;0,Calculator!$B$13,0)+T845+Calculator!$B$14,'Tax Tables'!$B$36)</f>
        <v>20200</v>
      </c>
      <c r="AA845" s="11" t="n">
        <f aca="false">MAX(P845-Z845,0)</f>
        <v>395800</v>
      </c>
      <c r="AB845" s="11" t="n">
        <f aca="false">SUMPRODUCT((AA845&gt;'Tax Tables'!$A$5:$A$17)*(AA845-'Tax Tables'!$A$5:$A$17)*'Tax Tables'!$C$5:$C$17)</f>
        <v>61226</v>
      </c>
      <c r="AC845" s="11" t="n">
        <f aca="false">IF(W845&lt;0,-1E+099,P845-T845-AB845+Y845+(T845+U845)*Calculator!$B$9)</f>
        <v>-1E+099</v>
      </c>
    </row>
    <row r="846" customFormat="false" ht="15" hidden="false" customHeight="false" outlineLevel="0" collapsed="false">
      <c r="A846" s="11" t="n">
        <f aca="false">833*$B$3</f>
        <v>416500</v>
      </c>
      <c r="B846" s="11" t="n">
        <f aca="false">0</f>
        <v>0</v>
      </c>
      <c r="C846" s="11" t="n">
        <f aca="false">A846-B846</f>
        <v>416500</v>
      </c>
      <c r="D846" s="11" t="n">
        <f aca="false">IF(Calculator!$B$6="Yes",MIN(B846,'Tax Tables'!$B$31*'Tax Tables'!$B$32),0)</f>
        <v>0</v>
      </c>
      <c r="E846" s="11" t="n">
        <f aca="false">D846*Calculator!$B$7</f>
        <v>0</v>
      </c>
      <c r="F846" s="11" t="n">
        <f aca="false">D846*Calculator!$B$8</f>
        <v>0</v>
      </c>
      <c r="G846" s="11" t="n">
        <f aca="false">IF(B846&gt;0,'Tax Tables'!$B$32*MIN(MAX(B846/'Tax Tables'!$B$32*'Tax Tables'!$B$33,'Tax Tables'!$B$34),'Tax Tables'!$B$35),0)</f>
        <v>0</v>
      </c>
      <c r="H846" s="11" t="n">
        <f aca="false">Calculator!$B$5-A846-F846-G846</f>
        <v>-16500</v>
      </c>
      <c r="I846" s="11" t="n">
        <f aca="false">'Tax Tables'!$B$22*(MAX(H846,0)-IF(Calculator!$B$10="Yes",MIN(MAX(H846,0),'Tax Tables'!$B$27)*'Tax Tables'!$B$28+MIN(MAX(MAX(H846,0)-'Tax Tables'!$B$27,0),'Tax Tables'!$B$29)*'Tax Tables'!$B$30,MIN(MAX(H846,0),'Tax Tables'!$B$23)*'Tax Tables'!$B$24+MIN(MAX(MAX(H846,0)-'Tax Tables'!$B$23,0),'Tax Tables'!$B$25)*'Tax Tables'!$B$26))*1-MIN('Tax Tables'!$B$22*(MAX(H846,0)-IF(Calculator!$B$10="Yes",MIN(MAX(H846,0),'Tax Tables'!$B$27)*'Tax Tables'!$B$28+MIN(MAX(MAX(H846,0)-'Tax Tables'!$B$27,0),'Tax Tables'!$B$29)*'Tax Tables'!$B$30,MIN(MAX(H846,0),'Tax Tables'!$B$23)*'Tax Tables'!$B$24+MIN(MAX(MAX(H846,0)-'Tax Tables'!$B$23,0),'Tax Tables'!$B$25)*'Tax Tables'!$B$26))*Calculator!$B$11,Calculator!$B$12)</f>
        <v>0</v>
      </c>
      <c r="J846" s="11" t="n">
        <f aca="false">MAX(H846,0)-I846</f>
        <v>0</v>
      </c>
      <c r="K846" s="11" t="n">
        <f aca="false">MIN(IF(A846&gt;0,Calculator!$B$13,0)+E846+Calculator!$B$14,'Tax Tables'!$B$36)</f>
        <v>1000</v>
      </c>
      <c r="L846" s="11" t="n">
        <f aca="false">MAX(A846-K846,0)</f>
        <v>415500</v>
      </c>
      <c r="M846" s="11" t="n">
        <f aca="false">SUMPRODUCT((L846&gt;'Tax Tables'!$A$5:$A$17)*(L846-'Tax Tables'!$A$5:$A$17)*'Tax Tables'!$C$5:$C$17)</f>
        <v>65560</v>
      </c>
      <c r="N846" s="11" t="n">
        <f aca="false">IF(H846&lt;0,-1E+099,A846-E846-M846+J846+(E846+F846)*Calculator!$B$9)</f>
        <v>-1E+099</v>
      </c>
      <c r="O846" s="2"/>
      <c r="P846" s="11" t="n">
        <f aca="false">833*$B$3</f>
        <v>416500</v>
      </c>
      <c r="Q846" s="11" t="n">
        <f aca="false">MIN(P846,'Tax Tables'!$B$31*'Tax Tables'!$B$32)</f>
        <v>96000</v>
      </c>
      <c r="R846" s="11" t="n">
        <f aca="false">P846-Q846</f>
        <v>320500</v>
      </c>
      <c r="S846" s="11" t="n">
        <f aca="false">IF(Calculator!$B$6="Yes",MIN(Q846,'Tax Tables'!$B$31*'Tax Tables'!$B$32),0)</f>
        <v>96000</v>
      </c>
      <c r="T846" s="11" t="n">
        <f aca="false">S846*Calculator!$B$7</f>
        <v>19200</v>
      </c>
      <c r="U846" s="11" t="n">
        <f aca="false">S846*Calculator!$B$8</f>
        <v>16320</v>
      </c>
      <c r="V846" s="11" t="n">
        <f aca="false">IF(Q846&gt;0,'Tax Tables'!$B$32*MIN(MAX(Q846/'Tax Tables'!$B$32*'Tax Tables'!$B$33,'Tax Tables'!$B$34),'Tax Tables'!$B$35),0)</f>
        <v>135</v>
      </c>
      <c r="W846" s="11" t="n">
        <f aca="false">Calculator!$B$5-P846-U846-V846</f>
        <v>-32955</v>
      </c>
      <c r="X846" s="11" t="n">
        <f aca="false">'Tax Tables'!$B$22*(MAX(W846,0)-IF(Calculator!$B$10="Yes",MIN(MAX(W846,0),'Tax Tables'!$B$27)*'Tax Tables'!$B$28+MIN(MAX(MAX(W846,0)-'Tax Tables'!$B$27,0),'Tax Tables'!$B$29)*'Tax Tables'!$B$30,MIN(MAX(W846,0),'Tax Tables'!$B$23)*'Tax Tables'!$B$24+MIN(MAX(MAX(W846,0)-'Tax Tables'!$B$23,0),'Tax Tables'!$B$25)*'Tax Tables'!$B$26))*1-MIN('Tax Tables'!$B$22*(MAX(W846,0)-IF(Calculator!$B$10="Yes",MIN(MAX(W846,0),'Tax Tables'!$B$27)*'Tax Tables'!$B$28+MIN(MAX(MAX(W846,0)-'Tax Tables'!$B$27,0),'Tax Tables'!$B$29)*'Tax Tables'!$B$30,MIN(MAX(W846,0),'Tax Tables'!$B$23)*'Tax Tables'!$B$24+MIN(MAX(MAX(W846,0)-'Tax Tables'!$B$23,0),'Tax Tables'!$B$25)*'Tax Tables'!$B$26))*Calculator!$B$11,Calculator!$B$12)</f>
        <v>0</v>
      </c>
      <c r="Y846" s="11" t="n">
        <f aca="false">MAX(W846,0)-X846</f>
        <v>0</v>
      </c>
      <c r="Z846" s="11" t="n">
        <f aca="false">MIN(IF(P846&gt;0,Calculator!$B$13,0)+T846+Calculator!$B$14,'Tax Tables'!$B$36)</f>
        <v>20200</v>
      </c>
      <c r="AA846" s="11" t="n">
        <f aca="false">MAX(P846-Z846,0)</f>
        <v>396300</v>
      </c>
      <c r="AB846" s="11" t="n">
        <f aca="false">SUMPRODUCT((AA846&gt;'Tax Tables'!$A$5:$A$17)*(AA846-'Tax Tables'!$A$5:$A$17)*'Tax Tables'!$C$5:$C$17)</f>
        <v>61336</v>
      </c>
      <c r="AC846" s="11" t="n">
        <f aca="false">IF(W846&lt;0,-1E+099,P846-T846-AB846+Y846+(T846+U846)*Calculator!$B$9)</f>
        <v>-1E+099</v>
      </c>
    </row>
    <row r="847" customFormat="false" ht="15" hidden="false" customHeight="false" outlineLevel="0" collapsed="false">
      <c r="A847" s="11" t="n">
        <f aca="false">834*$B$3</f>
        <v>417000</v>
      </c>
      <c r="B847" s="11" t="n">
        <f aca="false">0</f>
        <v>0</v>
      </c>
      <c r="C847" s="11" t="n">
        <f aca="false">A847-B847</f>
        <v>417000</v>
      </c>
      <c r="D847" s="11" t="n">
        <f aca="false">IF(Calculator!$B$6="Yes",MIN(B847,'Tax Tables'!$B$31*'Tax Tables'!$B$32),0)</f>
        <v>0</v>
      </c>
      <c r="E847" s="11" t="n">
        <f aca="false">D847*Calculator!$B$7</f>
        <v>0</v>
      </c>
      <c r="F847" s="11" t="n">
        <f aca="false">D847*Calculator!$B$8</f>
        <v>0</v>
      </c>
      <c r="G847" s="11" t="n">
        <f aca="false">IF(B847&gt;0,'Tax Tables'!$B$32*MIN(MAX(B847/'Tax Tables'!$B$32*'Tax Tables'!$B$33,'Tax Tables'!$B$34),'Tax Tables'!$B$35),0)</f>
        <v>0</v>
      </c>
      <c r="H847" s="11" t="n">
        <f aca="false">Calculator!$B$5-A847-F847-G847</f>
        <v>-17000</v>
      </c>
      <c r="I847" s="11" t="n">
        <f aca="false">'Tax Tables'!$B$22*(MAX(H847,0)-IF(Calculator!$B$10="Yes",MIN(MAX(H847,0),'Tax Tables'!$B$27)*'Tax Tables'!$B$28+MIN(MAX(MAX(H847,0)-'Tax Tables'!$B$27,0),'Tax Tables'!$B$29)*'Tax Tables'!$B$30,MIN(MAX(H847,0),'Tax Tables'!$B$23)*'Tax Tables'!$B$24+MIN(MAX(MAX(H847,0)-'Tax Tables'!$B$23,0),'Tax Tables'!$B$25)*'Tax Tables'!$B$26))*1-MIN('Tax Tables'!$B$22*(MAX(H847,0)-IF(Calculator!$B$10="Yes",MIN(MAX(H847,0),'Tax Tables'!$B$27)*'Tax Tables'!$B$28+MIN(MAX(MAX(H847,0)-'Tax Tables'!$B$27,0),'Tax Tables'!$B$29)*'Tax Tables'!$B$30,MIN(MAX(H847,0),'Tax Tables'!$B$23)*'Tax Tables'!$B$24+MIN(MAX(MAX(H847,0)-'Tax Tables'!$B$23,0),'Tax Tables'!$B$25)*'Tax Tables'!$B$26))*Calculator!$B$11,Calculator!$B$12)</f>
        <v>0</v>
      </c>
      <c r="J847" s="11" t="n">
        <f aca="false">MAX(H847,0)-I847</f>
        <v>0</v>
      </c>
      <c r="K847" s="11" t="n">
        <f aca="false">MIN(IF(A847&gt;0,Calculator!$B$13,0)+E847+Calculator!$B$14,'Tax Tables'!$B$36)</f>
        <v>1000</v>
      </c>
      <c r="L847" s="11" t="n">
        <f aca="false">MAX(A847-K847,0)</f>
        <v>416000</v>
      </c>
      <c r="M847" s="11" t="n">
        <f aca="false">SUMPRODUCT((L847&gt;'Tax Tables'!$A$5:$A$17)*(L847-'Tax Tables'!$A$5:$A$17)*'Tax Tables'!$C$5:$C$17)</f>
        <v>65670</v>
      </c>
      <c r="N847" s="11" t="n">
        <f aca="false">IF(H847&lt;0,-1E+099,A847-E847-M847+J847+(E847+F847)*Calculator!$B$9)</f>
        <v>-1E+099</v>
      </c>
      <c r="O847" s="2"/>
      <c r="P847" s="11" t="n">
        <f aca="false">834*$B$3</f>
        <v>417000</v>
      </c>
      <c r="Q847" s="11" t="n">
        <f aca="false">MIN(P847,'Tax Tables'!$B$31*'Tax Tables'!$B$32)</f>
        <v>96000</v>
      </c>
      <c r="R847" s="11" t="n">
        <f aca="false">P847-Q847</f>
        <v>321000</v>
      </c>
      <c r="S847" s="11" t="n">
        <f aca="false">IF(Calculator!$B$6="Yes",MIN(Q847,'Tax Tables'!$B$31*'Tax Tables'!$B$32),0)</f>
        <v>96000</v>
      </c>
      <c r="T847" s="11" t="n">
        <f aca="false">S847*Calculator!$B$7</f>
        <v>19200</v>
      </c>
      <c r="U847" s="11" t="n">
        <f aca="false">S847*Calculator!$B$8</f>
        <v>16320</v>
      </c>
      <c r="V847" s="11" t="n">
        <f aca="false">IF(Q847&gt;0,'Tax Tables'!$B$32*MIN(MAX(Q847/'Tax Tables'!$B$32*'Tax Tables'!$B$33,'Tax Tables'!$B$34),'Tax Tables'!$B$35),0)</f>
        <v>135</v>
      </c>
      <c r="W847" s="11" t="n">
        <f aca="false">Calculator!$B$5-P847-U847-V847</f>
        <v>-33455</v>
      </c>
      <c r="X847" s="11" t="n">
        <f aca="false">'Tax Tables'!$B$22*(MAX(W847,0)-IF(Calculator!$B$10="Yes",MIN(MAX(W847,0),'Tax Tables'!$B$27)*'Tax Tables'!$B$28+MIN(MAX(MAX(W847,0)-'Tax Tables'!$B$27,0),'Tax Tables'!$B$29)*'Tax Tables'!$B$30,MIN(MAX(W847,0),'Tax Tables'!$B$23)*'Tax Tables'!$B$24+MIN(MAX(MAX(W847,0)-'Tax Tables'!$B$23,0),'Tax Tables'!$B$25)*'Tax Tables'!$B$26))*1-MIN('Tax Tables'!$B$22*(MAX(W847,0)-IF(Calculator!$B$10="Yes",MIN(MAX(W847,0),'Tax Tables'!$B$27)*'Tax Tables'!$B$28+MIN(MAX(MAX(W847,0)-'Tax Tables'!$B$27,0),'Tax Tables'!$B$29)*'Tax Tables'!$B$30,MIN(MAX(W847,0),'Tax Tables'!$B$23)*'Tax Tables'!$B$24+MIN(MAX(MAX(W847,0)-'Tax Tables'!$B$23,0),'Tax Tables'!$B$25)*'Tax Tables'!$B$26))*Calculator!$B$11,Calculator!$B$12)</f>
        <v>0</v>
      </c>
      <c r="Y847" s="11" t="n">
        <f aca="false">MAX(W847,0)-X847</f>
        <v>0</v>
      </c>
      <c r="Z847" s="11" t="n">
        <f aca="false">MIN(IF(P847&gt;0,Calculator!$B$13,0)+T847+Calculator!$B$14,'Tax Tables'!$B$36)</f>
        <v>20200</v>
      </c>
      <c r="AA847" s="11" t="n">
        <f aca="false">MAX(P847-Z847,0)</f>
        <v>396800</v>
      </c>
      <c r="AB847" s="11" t="n">
        <f aca="false">SUMPRODUCT((AA847&gt;'Tax Tables'!$A$5:$A$17)*(AA847-'Tax Tables'!$A$5:$A$17)*'Tax Tables'!$C$5:$C$17)</f>
        <v>61446</v>
      </c>
      <c r="AC847" s="11" t="n">
        <f aca="false">IF(W847&lt;0,-1E+099,P847-T847-AB847+Y847+(T847+U847)*Calculator!$B$9)</f>
        <v>-1E+099</v>
      </c>
    </row>
    <row r="848" customFormat="false" ht="15" hidden="false" customHeight="false" outlineLevel="0" collapsed="false">
      <c r="A848" s="11" t="n">
        <f aca="false">835*$B$3</f>
        <v>417500</v>
      </c>
      <c r="B848" s="11" t="n">
        <f aca="false">0</f>
        <v>0</v>
      </c>
      <c r="C848" s="11" t="n">
        <f aca="false">A848-B848</f>
        <v>417500</v>
      </c>
      <c r="D848" s="11" t="n">
        <f aca="false">IF(Calculator!$B$6="Yes",MIN(B848,'Tax Tables'!$B$31*'Tax Tables'!$B$32),0)</f>
        <v>0</v>
      </c>
      <c r="E848" s="11" t="n">
        <f aca="false">D848*Calculator!$B$7</f>
        <v>0</v>
      </c>
      <c r="F848" s="11" t="n">
        <f aca="false">D848*Calculator!$B$8</f>
        <v>0</v>
      </c>
      <c r="G848" s="11" t="n">
        <f aca="false">IF(B848&gt;0,'Tax Tables'!$B$32*MIN(MAX(B848/'Tax Tables'!$B$32*'Tax Tables'!$B$33,'Tax Tables'!$B$34),'Tax Tables'!$B$35),0)</f>
        <v>0</v>
      </c>
      <c r="H848" s="11" t="n">
        <f aca="false">Calculator!$B$5-A848-F848-G848</f>
        <v>-17500</v>
      </c>
      <c r="I848" s="11" t="n">
        <f aca="false">'Tax Tables'!$B$22*(MAX(H848,0)-IF(Calculator!$B$10="Yes",MIN(MAX(H848,0),'Tax Tables'!$B$27)*'Tax Tables'!$B$28+MIN(MAX(MAX(H848,0)-'Tax Tables'!$B$27,0),'Tax Tables'!$B$29)*'Tax Tables'!$B$30,MIN(MAX(H848,0),'Tax Tables'!$B$23)*'Tax Tables'!$B$24+MIN(MAX(MAX(H848,0)-'Tax Tables'!$B$23,0),'Tax Tables'!$B$25)*'Tax Tables'!$B$26))*1-MIN('Tax Tables'!$B$22*(MAX(H848,0)-IF(Calculator!$B$10="Yes",MIN(MAX(H848,0),'Tax Tables'!$B$27)*'Tax Tables'!$B$28+MIN(MAX(MAX(H848,0)-'Tax Tables'!$B$27,0),'Tax Tables'!$B$29)*'Tax Tables'!$B$30,MIN(MAX(H848,0),'Tax Tables'!$B$23)*'Tax Tables'!$B$24+MIN(MAX(MAX(H848,0)-'Tax Tables'!$B$23,0),'Tax Tables'!$B$25)*'Tax Tables'!$B$26))*Calculator!$B$11,Calculator!$B$12)</f>
        <v>0</v>
      </c>
      <c r="J848" s="11" t="n">
        <f aca="false">MAX(H848,0)-I848</f>
        <v>0</v>
      </c>
      <c r="K848" s="11" t="n">
        <f aca="false">MIN(IF(A848&gt;0,Calculator!$B$13,0)+E848+Calculator!$B$14,'Tax Tables'!$B$36)</f>
        <v>1000</v>
      </c>
      <c r="L848" s="11" t="n">
        <f aca="false">MAX(A848-K848,0)</f>
        <v>416500</v>
      </c>
      <c r="M848" s="11" t="n">
        <f aca="false">SUMPRODUCT((L848&gt;'Tax Tables'!$A$5:$A$17)*(L848-'Tax Tables'!$A$5:$A$17)*'Tax Tables'!$C$5:$C$17)</f>
        <v>65780</v>
      </c>
      <c r="N848" s="11" t="n">
        <f aca="false">IF(H848&lt;0,-1E+099,A848-E848-M848+J848+(E848+F848)*Calculator!$B$9)</f>
        <v>-1E+099</v>
      </c>
      <c r="O848" s="2"/>
      <c r="P848" s="11" t="n">
        <f aca="false">835*$B$3</f>
        <v>417500</v>
      </c>
      <c r="Q848" s="11" t="n">
        <f aca="false">MIN(P848,'Tax Tables'!$B$31*'Tax Tables'!$B$32)</f>
        <v>96000</v>
      </c>
      <c r="R848" s="11" t="n">
        <f aca="false">P848-Q848</f>
        <v>321500</v>
      </c>
      <c r="S848" s="11" t="n">
        <f aca="false">IF(Calculator!$B$6="Yes",MIN(Q848,'Tax Tables'!$B$31*'Tax Tables'!$B$32),0)</f>
        <v>96000</v>
      </c>
      <c r="T848" s="11" t="n">
        <f aca="false">S848*Calculator!$B$7</f>
        <v>19200</v>
      </c>
      <c r="U848" s="11" t="n">
        <f aca="false">S848*Calculator!$B$8</f>
        <v>16320</v>
      </c>
      <c r="V848" s="11" t="n">
        <f aca="false">IF(Q848&gt;0,'Tax Tables'!$B$32*MIN(MAX(Q848/'Tax Tables'!$B$32*'Tax Tables'!$B$33,'Tax Tables'!$B$34),'Tax Tables'!$B$35),0)</f>
        <v>135</v>
      </c>
      <c r="W848" s="11" t="n">
        <f aca="false">Calculator!$B$5-P848-U848-V848</f>
        <v>-33955</v>
      </c>
      <c r="X848" s="11" t="n">
        <f aca="false">'Tax Tables'!$B$22*(MAX(W848,0)-IF(Calculator!$B$10="Yes",MIN(MAX(W848,0),'Tax Tables'!$B$27)*'Tax Tables'!$B$28+MIN(MAX(MAX(W848,0)-'Tax Tables'!$B$27,0),'Tax Tables'!$B$29)*'Tax Tables'!$B$30,MIN(MAX(W848,0),'Tax Tables'!$B$23)*'Tax Tables'!$B$24+MIN(MAX(MAX(W848,0)-'Tax Tables'!$B$23,0),'Tax Tables'!$B$25)*'Tax Tables'!$B$26))*1-MIN('Tax Tables'!$B$22*(MAX(W848,0)-IF(Calculator!$B$10="Yes",MIN(MAX(W848,0),'Tax Tables'!$B$27)*'Tax Tables'!$B$28+MIN(MAX(MAX(W848,0)-'Tax Tables'!$B$27,0),'Tax Tables'!$B$29)*'Tax Tables'!$B$30,MIN(MAX(W848,0),'Tax Tables'!$B$23)*'Tax Tables'!$B$24+MIN(MAX(MAX(W848,0)-'Tax Tables'!$B$23,0),'Tax Tables'!$B$25)*'Tax Tables'!$B$26))*Calculator!$B$11,Calculator!$B$12)</f>
        <v>0</v>
      </c>
      <c r="Y848" s="11" t="n">
        <f aca="false">MAX(W848,0)-X848</f>
        <v>0</v>
      </c>
      <c r="Z848" s="11" t="n">
        <f aca="false">MIN(IF(P848&gt;0,Calculator!$B$13,0)+T848+Calculator!$B$14,'Tax Tables'!$B$36)</f>
        <v>20200</v>
      </c>
      <c r="AA848" s="11" t="n">
        <f aca="false">MAX(P848-Z848,0)</f>
        <v>397300</v>
      </c>
      <c r="AB848" s="11" t="n">
        <f aca="false">SUMPRODUCT((AA848&gt;'Tax Tables'!$A$5:$A$17)*(AA848-'Tax Tables'!$A$5:$A$17)*'Tax Tables'!$C$5:$C$17)</f>
        <v>61556</v>
      </c>
      <c r="AC848" s="11" t="n">
        <f aca="false">IF(W848&lt;0,-1E+099,P848-T848-AB848+Y848+(T848+U848)*Calculator!$B$9)</f>
        <v>-1E+099</v>
      </c>
    </row>
    <row r="849" customFormat="false" ht="15" hidden="false" customHeight="false" outlineLevel="0" collapsed="false">
      <c r="A849" s="11" t="n">
        <f aca="false">836*$B$3</f>
        <v>418000</v>
      </c>
      <c r="B849" s="11" t="n">
        <f aca="false">0</f>
        <v>0</v>
      </c>
      <c r="C849" s="11" t="n">
        <f aca="false">A849-B849</f>
        <v>418000</v>
      </c>
      <c r="D849" s="11" t="n">
        <f aca="false">IF(Calculator!$B$6="Yes",MIN(B849,'Tax Tables'!$B$31*'Tax Tables'!$B$32),0)</f>
        <v>0</v>
      </c>
      <c r="E849" s="11" t="n">
        <f aca="false">D849*Calculator!$B$7</f>
        <v>0</v>
      </c>
      <c r="F849" s="11" t="n">
        <f aca="false">D849*Calculator!$B$8</f>
        <v>0</v>
      </c>
      <c r="G849" s="11" t="n">
        <f aca="false">IF(B849&gt;0,'Tax Tables'!$B$32*MIN(MAX(B849/'Tax Tables'!$B$32*'Tax Tables'!$B$33,'Tax Tables'!$B$34),'Tax Tables'!$B$35),0)</f>
        <v>0</v>
      </c>
      <c r="H849" s="11" t="n">
        <f aca="false">Calculator!$B$5-A849-F849-G849</f>
        <v>-18000</v>
      </c>
      <c r="I849" s="11" t="n">
        <f aca="false">'Tax Tables'!$B$22*(MAX(H849,0)-IF(Calculator!$B$10="Yes",MIN(MAX(H849,0),'Tax Tables'!$B$27)*'Tax Tables'!$B$28+MIN(MAX(MAX(H849,0)-'Tax Tables'!$B$27,0),'Tax Tables'!$B$29)*'Tax Tables'!$B$30,MIN(MAX(H849,0),'Tax Tables'!$B$23)*'Tax Tables'!$B$24+MIN(MAX(MAX(H849,0)-'Tax Tables'!$B$23,0),'Tax Tables'!$B$25)*'Tax Tables'!$B$26))*1-MIN('Tax Tables'!$B$22*(MAX(H849,0)-IF(Calculator!$B$10="Yes",MIN(MAX(H849,0),'Tax Tables'!$B$27)*'Tax Tables'!$B$28+MIN(MAX(MAX(H849,0)-'Tax Tables'!$B$27,0),'Tax Tables'!$B$29)*'Tax Tables'!$B$30,MIN(MAX(H849,0),'Tax Tables'!$B$23)*'Tax Tables'!$B$24+MIN(MAX(MAX(H849,0)-'Tax Tables'!$B$23,0),'Tax Tables'!$B$25)*'Tax Tables'!$B$26))*Calculator!$B$11,Calculator!$B$12)</f>
        <v>0</v>
      </c>
      <c r="J849" s="11" t="n">
        <f aca="false">MAX(H849,0)-I849</f>
        <v>0</v>
      </c>
      <c r="K849" s="11" t="n">
        <f aca="false">MIN(IF(A849&gt;0,Calculator!$B$13,0)+E849+Calculator!$B$14,'Tax Tables'!$B$36)</f>
        <v>1000</v>
      </c>
      <c r="L849" s="11" t="n">
        <f aca="false">MAX(A849-K849,0)</f>
        <v>417000</v>
      </c>
      <c r="M849" s="11" t="n">
        <f aca="false">SUMPRODUCT((L849&gt;'Tax Tables'!$A$5:$A$17)*(L849-'Tax Tables'!$A$5:$A$17)*'Tax Tables'!$C$5:$C$17)</f>
        <v>65890</v>
      </c>
      <c r="N849" s="11" t="n">
        <f aca="false">IF(H849&lt;0,-1E+099,A849-E849-M849+J849+(E849+F849)*Calculator!$B$9)</f>
        <v>-1E+099</v>
      </c>
      <c r="O849" s="2"/>
      <c r="P849" s="11" t="n">
        <f aca="false">836*$B$3</f>
        <v>418000</v>
      </c>
      <c r="Q849" s="11" t="n">
        <f aca="false">MIN(P849,'Tax Tables'!$B$31*'Tax Tables'!$B$32)</f>
        <v>96000</v>
      </c>
      <c r="R849" s="11" t="n">
        <f aca="false">P849-Q849</f>
        <v>322000</v>
      </c>
      <c r="S849" s="11" t="n">
        <f aca="false">IF(Calculator!$B$6="Yes",MIN(Q849,'Tax Tables'!$B$31*'Tax Tables'!$B$32),0)</f>
        <v>96000</v>
      </c>
      <c r="T849" s="11" t="n">
        <f aca="false">S849*Calculator!$B$7</f>
        <v>19200</v>
      </c>
      <c r="U849" s="11" t="n">
        <f aca="false">S849*Calculator!$B$8</f>
        <v>16320</v>
      </c>
      <c r="V849" s="11" t="n">
        <f aca="false">IF(Q849&gt;0,'Tax Tables'!$B$32*MIN(MAX(Q849/'Tax Tables'!$B$32*'Tax Tables'!$B$33,'Tax Tables'!$B$34),'Tax Tables'!$B$35),0)</f>
        <v>135</v>
      </c>
      <c r="W849" s="11" t="n">
        <f aca="false">Calculator!$B$5-P849-U849-V849</f>
        <v>-34455</v>
      </c>
      <c r="X849" s="11" t="n">
        <f aca="false">'Tax Tables'!$B$22*(MAX(W849,0)-IF(Calculator!$B$10="Yes",MIN(MAX(W849,0),'Tax Tables'!$B$27)*'Tax Tables'!$B$28+MIN(MAX(MAX(W849,0)-'Tax Tables'!$B$27,0),'Tax Tables'!$B$29)*'Tax Tables'!$B$30,MIN(MAX(W849,0),'Tax Tables'!$B$23)*'Tax Tables'!$B$24+MIN(MAX(MAX(W849,0)-'Tax Tables'!$B$23,0),'Tax Tables'!$B$25)*'Tax Tables'!$B$26))*1-MIN('Tax Tables'!$B$22*(MAX(W849,0)-IF(Calculator!$B$10="Yes",MIN(MAX(W849,0),'Tax Tables'!$B$27)*'Tax Tables'!$B$28+MIN(MAX(MAX(W849,0)-'Tax Tables'!$B$27,0),'Tax Tables'!$B$29)*'Tax Tables'!$B$30,MIN(MAX(W849,0),'Tax Tables'!$B$23)*'Tax Tables'!$B$24+MIN(MAX(MAX(W849,0)-'Tax Tables'!$B$23,0),'Tax Tables'!$B$25)*'Tax Tables'!$B$26))*Calculator!$B$11,Calculator!$B$12)</f>
        <v>0</v>
      </c>
      <c r="Y849" s="11" t="n">
        <f aca="false">MAX(W849,0)-X849</f>
        <v>0</v>
      </c>
      <c r="Z849" s="11" t="n">
        <f aca="false">MIN(IF(P849&gt;0,Calculator!$B$13,0)+T849+Calculator!$B$14,'Tax Tables'!$B$36)</f>
        <v>20200</v>
      </c>
      <c r="AA849" s="11" t="n">
        <f aca="false">MAX(P849-Z849,0)</f>
        <v>397800</v>
      </c>
      <c r="AB849" s="11" t="n">
        <f aca="false">SUMPRODUCT((AA849&gt;'Tax Tables'!$A$5:$A$17)*(AA849-'Tax Tables'!$A$5:$A$17)*'Tax Tables'!$C$5:$C$17)</f>
        <v>61666</v>
      </c>
      <c r="AC849" s="11" t="n">
        <f aca="false">IF(W849&lt;0,-1E+099,P849-T849-AB849+Y849+(T849+U849)*Calculator!$B$9)</f>
        <v>-1E+099</v>
      </c>
    </row>
    <row r="850" customFormat="false" ht="15" hidden="false" customHeight="false" outlineLevel="0" collapsed="false">
      <c r="A850" s="11" t="n">
        <f aca="false">837*$B$3</f>
        <v>418500</v>
      </c>
      <c r="B850" s="11" t="n">
        <f aca="false">0</f>
        <v>0</v>
      </c>
      <c r="C850" s="11" t="n">
        <f aca="false">A850-B850</f>
        <v>418500</v>
      </c>
      <c r="D850" s="11" t="n">
        <f aca="false">IF(Calculator!$B$6="Yes",MIN(B850,'Tax Tables'!$B$31*'Tax Tables'!$B$32),0)</f>
        <v>0</v>
      </c>
      <c r="E850" s="11" t="n">
        <f aca="false">D850*Calculator!$B$7</f>
        <v>0</v>
      </c>
      <c r="F850" s="11" t="n">
        <f aca="false">D850*Calculator!$B$8</f>
        <v>0</v>
      </c>
      <c r="G850" s="11" t="n">
        <f aca="false">IF(B850&gt;0,'Tax Tables'!$B$32*MIN(MAX(B850/'Tax Tables'!$B$32*'Tax Tables'!$B$33,'Tax Tables'!$B$34),'Tax Tables'!$B$35),0)</f>
        <v>0</v>
      </c>
      <c r="H850" s="11" t="n">
        <f aca="false">Calculator!$B$5-A850-F850-G850</f>
        <v>-18500</v>
      </c>
      <c r="I850" s="11" t="n">
        <f aca="false">'Tax Tables'!$B$22*(MAX(H850,0)-IF(Calculator!$B$10="Yes",MIN(MAX(H850,0),'Tax Tables'!$B$27)*'Tax Tables'!$B$28+MIN(MAX(MAX(H850,0)-'Tax Tables'!$B$27,0),'Tax Tables'!$B$29)*'Tax Tables'!$B$30,MIN(MAX(H850,0),'Tax Tables'!$B$23)*'Tax Tables'!$B$24+MIN(MAX(MAX(H850,0)-'Tax Tables'!$B$23,0),'Tax Tables'!$B$25)*'Tax Tables'!$B$26))*1-MIN('Tax Tables'!$B$22*(MAX(H850,0)-IF(Calculator!$B$10="Yes",MIN(MAX(H850,0),'Tax Tables'!$B$27)*'Tax Tables'!$B$28+MIN(MAX(MAX(H850,0)-'Tax Tables'!$B$27,0),'Tax Tables'!$B$29)*'Tax Tables'!$B$30,MIN(MAX(H850,0),'Tax Tables'!$B$23)*'Tax Tables'!$B$24+MIN(MAX(MAX(H850,0)-'Tax Tables'!$B$23,0),'Tax Tables'!$B$25)*'Tax Tables'!$B$26))*Calculator!$B$11,Calculator!$B$12)</f>
        <v>0</v>
      </c>
      <c r="J850" s="11" t="n">
        <f aca="false">MAX(H850,0)-I850</f>
        <v>0</v>
      </c>
      <c r="K850" s="11" t="n">
        <f aca="false">MIN(IF(A850&gt;0,Calculator!$B$13,0)+E850+Calculator!$B$14,'Tax Tables'!$B$36)</f>
        <v>1000</v>
      </c>
      <c r="L850" s="11" t="n">
        <f aca="false">MAX(A850-K850,0)</f>
        <v>417500</v>
      </c>
      <c r="M850" s="11" t="n">
        <f aca="false">SUMPRODUCT((L850&gt;'Tax Tables'!$A$5:$A$17)*(L850-'Tax Tables'!$A$5:$A$17)*'Tax Tables'!$C$5:$C$17)</f>
        <v>66000</v>
      </c>
      <c r="N850" s="11" t="n">
        <f aca="false">IF(H850&lt;0,-1E+099,A850-E850-M850+J850+(E850+F850)*Calculator!$B$9)</f>
        <v>-1E+099</v>
      </c>
      <c r="O850" s="2"/>
      <c r="P850" s="11" t="n">
        <f aca="false">837*$B$3</f>
        <v>418500</v>
      </c>
      <c r="Q850" s="11" t="n">
        <f aca="false">MIN(P850,'Tax Tables'!$B$31*'Tax Tables'!$B$32)</f>
        <v>96000</v>
      </c>
      <c r="R850" s="11" t="n">
        <f aca="false">P850-Q850</f>
        <v>322500</v>
      </c>
      <c r="S850" s="11" t="n">
        <f aca="false">IF(Calculator!$B$6="Yes",MIN(Q850,'Tax Tables'!$B$31*'Tax Tables'!$B$32),0)</f>
        <v>96000</v>
      </c>
      <c r="T850" s="11" t="n">
        <f aca="false">S850*Calculator!$B$7</f>
        <v>19200</v>
      </c>
      <c r="U850" s="11" t="n">
        <f aca="false">S850*Calculator!$B$8</f>
        <v>16320</v>
      </c>
      <c r="V850" s="11" t="n">
        <f aca="false">IF(Q850&gt;0,'Tax Tables'!$B$32*MIN(MAX(Q850/'Tax Tables'!$B$32*'Tax Tables'!$B$33,'Tax Tables'!$B$34),'Tax Tables'!$B$35),0)</f>
        <v>135</v>
      </c>
      <c r="W850" s="11" t="n">
        <f aca="false">Calculator!$B$5-P850-U850-V850</f>
        <v>-34955</v>
      </c>
      <c r="X850" s="11" t="n">
        <f aca="false">'Tax Tables'!$B$22*(MAX(W850,0)-IF(Calculator!$B$10="Yes",MIN(MAX(W850,0),'Tax Tables'!$B$27)*'Tax Tables'!$B$28+MIN(MAX(MAX(W850,0)-'Tax Tables'!$B$27,0),'Tax Tables'!$B$29)*'Tax Tables'!$B$30,MIN(MAX(W850,0),'Tax Tables'!$B$23)*'Tax Tables'!$B$24+MIN(MAX(MAX(W850,0)-'Tax Tables'!$B$23,0),'Tax Tables'!$B$25)*'Tax Tables'!$B$26))*1-MIN('Tax Tables'!$B$22*(MAX(W850,0)-IF(Calculator!$B$10="Yes",MIN(MAX(W850,0),'Tax Tables'!$B$27)*'Tax Tables'!$B$28+MIN(MAX(MAX(W850,0)-'Tax Tables'!$B$27,0),'Tax Tables'!$B$29)*'Tax Tables'!$B$30,MIN(MAX(W850,0),'Tax Tables'!$B$23)*'Tax Tables'!$B$24+MIN(MAX(MAX(W850,0)-'Tax Tables'!$B$23,0),'Tax Tables'!$B$25)*'Tax Tables'!$B$26))*Calculator!$B$11,Calculator!$B$12)</f>
        <v>0</v>
      </c>
      <c r="Y850" s="11" t="n">
        <f aca="false">MAX(W850,0)-X850</f>
        <v>0</v>
      </c>
      <c r="Z850" s="11" t="n">
        <f aca="false">MIN(IF(P850&gt;0,Calculator!$B$13,0)+T850+Calculator!$B$14,'Tax Tables'!$B$36)</f>
        <v>20200</v>
      </c>
      <c r="AA850" s="11" t="n">
        <f aca="false">MAX(P850-Z850,0)</f>
        <v>398300</v>
      </c>
      <c r="AB850" s="11" t="n">
        <f aca="false">SUMPRODUCT((AA850&gt;'Tax Tables'!$A$5:$A$17)*(AA850-'Tax Tables'!$A$5:$A$17)*'Tax Tables'!$C$5:$C$17)</f>
        <v>61776</v>
      </c>
      <c r="AC850" s="11" t="n">
        <f aca="false">IF(W850&lt;0,-1E+099,P850-T850-AB850+Y850+(T850+U850)*Calculator!$B$9)</f>
        <v>-1E+099</v>
      </c>
    </row>
    <row r="851" customFormat="false" ht="15" hidden="false" customHeight="false" outlineLevel="0" collapsed="false">
      <c r="A851" s="11" t="n">
        <f aca="false">838*$B$3</f>
        <v>419000</v>
      </c>
      <c r="B851" s="11" t="n">
        <f aca="false">0</f>
        <v>0</v>
      </c>
      <c r="C851" s="11" t="n">
        <f aca="false">A851-B851</f>
        <v>419000</v>
      </c>
      <c r="D851" s="11" t="n">
        <f aca="false">IF(Calculator!$B$6="Yes",MIN(B851,'Tax Tables'!$B$31*'Tax Tables'!$B$32),0)</f>
        <v>0</v>
      </c>
      <c r="E851" s="11" t="n">
        <f aca="false">D851*Calculator!$B$7</f>
        <v>0</v>
      </c>
      <c r="F851" s="11" t="n">
        <f aca="false">D851*Calculator!$B$8</f>
        <v>0</v>
      </c>
      <c r="G851" s="11" t="n">
        <f aca="false">IF(B851&gt;0,'Tax Tables'!$B$32*MIN(MAX(B851/'Tax Tables'!$B$32*'Tax Tables'!$B$33,'Tax Tables'!$B$34),'Tax Tables'!$B$35),0)</f>
        <v>0</v>
      </c>
      <c r="H851" s="11" t="n">
        <f aca="false">Calculator!$B$5-A851-F851-G851</f>
        <v>-19000</v>
      </c>
      <c r="I851" s="11" t="n">
        <f aca="false">'Tax Tables'!$B$22*(MAX(H851,0)-IF(Calculator!$B$10="Yes",MIN(MAX(H851,0),'Tax Tables'!$B$27)*'Tax Tables'!$B$28+MIN(MAX(MAX(H851,0)-'Tax Tables'!$B$27,0),'Tax Tables'!$B$29)*'Tax Tables'!$B$30,MIN(MAX(H851,0),'Tax Tables'!$B$23)*'Tax Tables'!$B$24+MIN(MAX(MAX(H851,0)-'Tax Tables'!$B$23,0),'Tax Tables'!$B$25)*'Tax Tables'!$B$26))*1-MIN('Tax Tables'!$B$22*(MAX(H851,0)-IF(Calculator!$B$10="Yes",MIN(MAX(H851,0),'Tax Tables'!$B$27)*'Tax Tables'!$B$28+MIN(MAX(MAX(H851,0)-'Tax Tables'!$B$27,0),'Tax Tables'!$B$29)*'Tax Tables'!$B$30,MIN(MAX(H851,0),'Tax Tables'!$B$23)*'Tax Tables'!$B$24+MIN(MAX(MAX(H851,0)-'Tax Tables'!$B$23,0),'Tax Tables'!$B$25)*'Tax Tables'!$B$26))*Calculator!$B$11,Calculator!$B$12)</f>
        <v>0</v>
      </c>
      <c r="J851" s="11" t="n">
        <f aca="false">MAX(H851,0)-I851</f>
        <v>0</v>
      </c>
      <c r="K851" s="11" t="n">
        <f aca="false">MIN(IF(A851&gt;0,Calculator!$B$13,0)+E851+Calculator!$B$14,'Tax Tables'!$B$36)</f>
        <v>1000</v>
      </c>
      <c r="L851" s="11" t="n">
        <f aca="false">MAX(A851-K851,0)</f>
        <v>418000</v>
      </c>
      <c r="M851" s="11" t="n">
        <f aca="false">SUMPRODUCT((L851&gt;'Tax Tables'!$A$5:$A$17)*(L851-'Tax Tables'!$A$5:$A$17)*'Tax Tables'!$C$5:$C$17)</f>
        <v>66110</v>
      </c>
      <c r="N851" s="11" t="n">
        <f aca="false">IF(H851&lt;0,-1E+099,A851-E851-M851+J851+(E851+F851)*Calculator!$B$9)</f>
        <v>-1E+099</v>
      </c>
      <c r="O851" s="2"/>
      <c r="P851" s="11" t="n">
        <f aca="false">838*$B$3</f>
        <v>419000</v>
      </c>
      <c r="Q851" s="11" t="n">
        <f aca="false">MIN(P851,'Tax Tables'!$B$31*'Tax Tables'!$B$32)</f>
        <v>96000</v>
      </c>
      <c r="R851" s="11" t="n">
        <f aca="false">P851-Q851</f>
        <v>323000</v>
      </c>
      <c r="S851" s="11" t="n">
        <f aca="false">IF(Calculator!$B$6="Yes",MIN(Q851,'Tax Tables'!$B$31*'Tax Tables'!$B$32),0)</f>
        <v>96000</v>
      </c>
      <c r="T851" s="11" t="n">
        <f aca="false">S851*Calculator!$B$7</f>
        <v>19200</v>
      </c>
      <c r="U851" s="11" t="n">
        <f aca="false">S851*Calculator!$B$8</f>
        <v>16320</v>
      </c>
      <c r="V851" s="11" t="n">
        <f aca="false">IF(Q851&gt;0,'Tax Tables'!$B$32*MIN(MAX(Q851/'Tax Tables'!$B$32*'Tax Tables'!$B$33,'Tax Tables'!$B$34),'Tax Tables'!$B$35),0)</f>
        <v>135</v>
      </c>
      <c r="W851" s="11" t="n">
        <f aca="false">Calculator!$B$5-P851-U851-V851</f>
        <v>-35455</v>
      </c>
      <c r="X851" s="11" t="n">
        <f aca="false">'Tax Tables'!$B$22*(MAX(W851,0)-IF(Calculator!$B$10="Yes",MIN(MAX(W851,0),'Tax Tables'!$B$27)*'Tax Tables'!$B$28+MIN(MAX(MAX(W851,0)-'Tax Tables'!$B$27,0),'Tax Tables'!$B$29)*'Tax Tables'!$B$30,MIN(MAX(W851,0),'Tax Tables'!$B$23)*'Tax Tables'!$B$24+MIN(MAX(MAX(W851,0)-'Tax Tables'!$B$23,0),'Tax Tables'!$B$25)*'Tax Tables'!$B$26))*1-MIN('Tax Tables'!$B$22*(MAX(W851,0)-IF(Calculator!$B$10="Yes",MIN(MAX(W851,0),'Tax Tables'!$B$27)*'Tax Tables'!$B$28+MIN(MAX(MAX(W851,0)-'Tax Tables'!$B$27,0),'Tax Tables'!$B$29)*'Tax Tables'!$B$30,MIN(MAX(W851,0),'Tax Tables'!$B$23)*'Tax Tables'!$B$24+MIN(MAX(MAX(W851,0)-'Tax Tables'!$B$23,0),'Tax Tables'!$B$25)*'Tax Tables'!$B$26))*Calculator!$B$11,Calculator!$B$12)</f>
        <v>0</v>
      </c>
      <c r="Y851" s="11" t="n">
        <f aca="false">MAX(W851,0)-X851</f>
        <v>0</v>
      </c>
      <c r="Z851" s="11" t="n">
        <f aca="false">MIN(IF(P851&gt;0,Calculator!$B$13,0)+T851+Calculator!$B$14,'Tax Tables'!$B$36)</f>
        <v>20200</v>
      </c>
      <c r="AA851" s="11" t="n">
        <f aca="false">MAX(P851-Z851,0)</f>
        <v>398800</v>
      </c>
      <c r="AB851" s="11" t="n">
        <f aca="false">SUMPRODUCT((AA851&gt;'Tax Tables'!$A$5:$A$17)*(AA851-'Tax Tables'!$A$5:$A$17)*'Tax Tables'!$C$5:$C$17)</f>
        <v>61886</v>
      </c>
      <c r="AC851" s="11" t="n">
        <f aca="false">IF(W851&lt;0,-1E+099,P851-T851-AB851+Y851+(T851+U851)*Calculator!$B$9)</f>
        <v>-1E+099</v>
      </c>
    </row>
    <row r="852" customFormat="false" ht="15" hidden="false" customHeight="false" outlineLevel="0" collapsed="false">
      <c r="A852" s="11" t="n">
        <f aca="false">839*$B$3</f>
        <v>419500</v>
      </c>
      <c r="B852" s="11" t="n">
        <f aca="false">0</f>
        <v>0</v>
      </c>
      <c r="C852" s="11" t="n">
        <f aca="false">A852-B852</f>
        <v>419500</v>
      </c>
      <c r="D852" s="11" t="n">
        <f aca="false">IF(Calculator!$B$6="Yes",MIN(B852,'Tax Tables'!$B$31*'Tax Tables'!$B$32),0)</f>
        <v>0</v>
      </c>
      <c r="E852" s="11" t="n">
        <f aca="false">D852*Calculator!$B$7</f>
        <v>0</v>
      </c>
      <c r="F852" s="11" t="n">
        <f aca="false">D852*Calculator!$B$8</f>
        <v>0</v>
      </c>
      <c r="G852" s="11" t="n">
        <f aca="false">IF(B852&gt;0,'Tax Tables'!$B$32*MIN(MAX(B852/'Tax Tables'!$B$32*'Tax Tables'!$B$33,'Tax Tables'!$B$34),'Tax Tables'!$B$35),0)</f>
        <v>0</v>
      </c>
      <c r="H852" s="11" t="n">
        <f aca="false">Calculator!$B$5-A852-F852-G852</f>
        <v>-19500</v>
      </c>
      <c r="I852" s="11" t="n">
        <f aca="false">'Tax Tables'!$B$22*(MAX(H852,0)-IF(Calculator!$B$10="Yes",MIN(MAX(H852,0),'Tax Tables'!$B$27)*'Tax Tables'!$B$28+MIN(MAX(MAX(H852,0)-'Tax Tables'!$B$27,0),'Tax Tables'!$B$29)*'Tax Tables'!$B$30,MIN(MAX(H852,0),'Tax Tables'!$B$23)*'Tax Tables'!$B$24+MIN(MAX(MAX(H852,0)-'Tax Tables'!$B$23,0),'Tax Tables'!$B$25)*'Tax Tables'!$B$26))*1-MIN('Tax Tables'!$B$22*(MAX(H852,0)-IF(Calculator!$B$10="Yes",MIN(MAX(H852,0),'Tax Tables'!$B$27)*'Tax Tables'!$B$28+MIN(MAX(MAX(H852,0)-'Tax Tables'!$B$27,0),'Tax Tables'!$B$29)*'Tax Tables'!$B$30,MIN(MAX(H852,0),'Tax Tables'!$B$23)*'Tax Tables'!$B$24+MIN(MAX(MAX(H852,0)-'Tax Tables'!$B$23,0),'Tax Tables'!$B$25)*'Tax Tables'!$B$26))*Calculator!$B$11,Calculator!$B$12)</f>
        <v>0</v>
      </c>
      <c r="J852" s="11" t="n">
        <f aca="false">MAX(H852,0)-I852</f>
        <v>0</v>
      </c>
      <c r="K852" s="11" t="n">
        <f aca="false">MIN(IF(A852&gt;0,Calculator!$B$13,0)+E852+Calculator!$B$14,'Tax Tables'!$B$36)</f>
        <v>1000</v>
      </c>
      <c r="L852" s="11" t="n">
        <f aca="false">MAX(A852-K852,0)</f>
        <v>418500</v>
      </c>
      <c r="M852" s="11" t="n">
        <f aca="false">SUMPRODUCT((L852&gt;'Tax Tables'!$A$5:$A$17)*(L852-'Tax Tables'!$A$5:$A$17)*'Tax Tables'!$C$5:$C$17)</f>
        <v>66220</v>
      </c>
      <c r="N852" s="11" t="n">
        <f aca="false">IF(H852&lt;0,-1E+099,A852-E852-M852+J852+(E852+F852)*Calculator!$B$9)</f>
        <v>-1E+099</v>
      </c>
      <c r="O852" s="2"/>
      <c r="P852" s="11" t="n">
        <f aca="false">839*$B$3</f>
        <v>419500</v>
      </c>
      <c r="Q852" s="11" t="n">
        <f aca="false">MIN(P852,'Tax Tables'!$B$31*'Tax Tables'!$B$32)</f>
        <v>96000</v>
      </c>
      <c r="R852" s="11" t="n">
        <f aca="false">P852-Q852</f>
        <v>323500</v>
      </c>
      <c r="S852" s="11" t="n">
        <f aca="false">IF(Calculator!$B$6="Yes",MIN(Q852,'Tax Tables'!$B$31*'Tax Tables'!$B$32),0)</f>
        <v>96000</v>
      </c>
      <c r="T852" s="11" t="n">
        <f aca="false">S852*Calculator!$B$7</f>
        <v>19200</v>
      </c>
      <c r="U852" s="11" t="n">
        <f aca="false">S852*Calculator!$B$8</f>
        <v>16320</v>
      </c>
      <c r="V852" s="11" t="n">
        <f aca="false">IF(Q852&gt;0,'Tax Tables'!$B$32*MIN(MAX(Q852/'Tax Tables'!$B$32*'Tax Tables'!$B$33,'Tax Tables'!$B$34),'Tax Tables'!$B$35),0)</f>
        <v>135</v>
      </c>
      <c r="W852" s="11" t="n">
        <f aca="false">Calculator!$B$5-P852-U852-V852</f>
        <v>-35955</v>
      </c>
      <c r="X852" s="11" t="n">
        <f aca="false">'Tax Tables'!$B$22*(MAX(W852,0)-IF(Calculator!$B$10="Yes",MIN(MAX(W852,0),'Tax Tables'!$B$27)*'Tax Tables'!$B$28+MIN(MAX(MAX(W852,0)-'Tax Tables'!$B$27,0),'Tax Tables'!$B$29)*'Tax Tables'!$B$30,MIN(MAX(W852,0),'Tax Tables'!$B$23)*'Tax Tables'!$B$24+MIN(MAX(MAX(W852,0)-'Tax Tables'!$B$23,0),'Tax Tables'!$B$25)*'Tax Tables'!$B$26))*1-MIN('Tax Tables'!$B$22*(MAX(W852,0)-IF(Calculator!$B$10="Yes",MIN(MAX(W852,0),'Tax Tables'!$B$27)*'Tax Tables'!$B$28+MIN(MAX(MAX(W852,0)-'Tax Tables'!$B$27,0),'Tax Tables'!$B$29)*'Tax Tables'!$B$30,MIN(MAX(W852,0),'Tax Tables'!$B$23)*'Tax Tables'!$B$24+MIN(MAX(MAX(W852,0)-'Tax Tables'!$B$23,0),'Tax Tables'!$B$25)*'Tax Tables'!$B$26))*Calculator!$B$11,Calculator!$B$12)</f>
        <v>0</v>
      </c>
      <c r="Y852" s="11" t="n">
        <f aca="false">MAX(W852,0)-X852</f>
        <v>0</v>
      </c>
      <c r="Z852" s="11" t="n">
        <f aca="false">MIN(IF(P852&gt;0,Calculator!$B$13,0)+T852+Calculator!$B$14,'Tax Tables'!$B$36)</f>
        <v>20200</v>
      </c>
      <c r="AA852" s="11" t="n">
        <f aca="false">MAX(P852-Z852,0)</f>
        <v>399300</v>
      </c>
      <c r="AB852" s="11" t="n">
        <f aca="false">SUMPRODUCT((AA852&gt;'Tax Tables'!$A$5:$A$17)*(AA852-'Tax Tables'!$A$5:$A$17)*'Tax Tables'!$C$5:$C$17)</f>
        <v>61996</v>
      </c>
      <c r="AC852" s="11" t="n">
        <f aca="false">IF(W852&lt;0,-1E+099,P852-T852-AB852+Y852+(T852+U852)*Calculator!$B$9)</f>
        <v>-1E+099</v>
      </c>
    </row>
    <row r="853" customFormat="false" ht="15" hidden="false" customHeight="false" outlineLevel="0" collapsed="false">
      <c r="A853" s="11" t="n">
        <f aca="false">840*$B$3</f>
        <v>420000</v>
      </c>
      <c r="B853" s="11" t="n">
        <f aca="false">0</f>
        <v>0</v>
      </c>
      <c r="C853" s="11" t="n">
        <f aca="false">A853-B853</f>
        <v>420000</v>
      </c>
      <c r="D853" s="11" t="n">
        <f aca="false">IF(Calculator!$B$6="Yes",MIN(B853,'Tax Tables'!$B$31*'Tax Tables'!$B$32),0)</f>
        <v>0</v>
      </c>
      <c r="E853" s="11" t="n">
        <f aca="false">D853*Calculator!$B$7</f>
        <v>0</v>
      </c>
      <c r="F853" s="11" t="n">
        <f aca="false">D853*Calculator!$B$8</f>
        <v>0</v>
      </c>
      <c r="G853" s="11" t="n">
        <f aca="false">IF(B853&gt;0,'Tax Tables'!$B$32*MIN(MAX(B853/'Tax Tables'!$B$32*'Tax Tables'!$B$33,'Tax Tables'!$B$34),'Tax Tables'!$B$35),0)</f>
        <v>0</v>
      </c>
      <c r="H853" s="11" t="n">
        <f aca="false">Calculator!$B$5-A853-F853-G853</f>
        <v>-20000</v>
      </c>
      <c r="I853" s="11" t="n">
        <f aca="false">'Tax Tables'!$B$22*(MAX(H853,0)-IF(Calculator!$B$10="Yes",MIN(MAX(H853,0),'Tax Tables'!$B$27)*'Tax Tables'!$B$28+MIN(MAX(MAX(H853,0)-'Tax Tables'!$B$27,0),'Tax Tables'!$B$29)*'Tax Tables'!$B$30,MIN(MAX(H853,0),'Tax Tables'!$B$23)*'Tax Tables'!$B$24+MIN(MAX(MAX(H853,0)-'Tax Tables'!$B$23,0),'Tax Tables'!$B$25)*'Tax Tables'!$B$26))*1-MIN('Tax Tables'!$B$22*(MAX(H853,0)-IF(Calculator!$B$10="Yes",MIN(MAX(H853,0),'Tax Tables'!$B$27)*'Tax Tables'!$B$28+MIN(MAX(MAX(H853,0)-'Tax Tables'!$B$27,0),'Tax Tables'!$B$29)*'Tax Tables'!$B$30,MIN(MAX(H853,0),'Tax Tables'!$B$23)*'Tax Tables'!$B$24+MIN(MAX(MAX(H853,0)-'Tax Tables'!$B$23,0),'Tax Tables'!$B$25)*'Tax Tables'!$B$26))*Calculator!$B$11,Calculator!$B$12)</f>
        <v>0</v>
      </c>
      <c r="J853" s="11" t="n">
        <f aca="false">MAX(H853,0)-I853</f>
        <v>0</v>
      </c>
      <c r="K853" s="11" t="n">
        <f aca="false">MIN(IF(A853&gt;0,Calculator!$B$13,0)+E853+Calculator!$B$14,'Tax Tables'!$B$36)</f>
        <v>1000</v>
      </c>
      <c r="L853" s="11" t="n">
        <f aca="false">MAX(A853-K853,0)</f>
        <v>419000</v>
      </c>
      <c r="M853" s="11" t="n">
        <f aca="false">SUMPRODUCT((L853&gt;'Tax Tables'!$A$5:$A$17)*(L853-'Tax Tables'!$A$5:$A$17)*'Tax Tables'!$C$5:$C$17)</f>
        <v>66330</v>
      </c>
      <c r="N853" s="11" t="n">
        <f aca="false">IF(H853&lt;0,-1E+099,A853-E853-M853+J853+(E853+F853)*Calculator!$B$9)</f>
        <v>-1E+099</v>
      </c>
      <c r="O853" s="2"/>
      <c r="P853" s="11" t="n">
        <f aca="false">840*$B$3</f>
        <v>420000</v>
      </c>
      <c r="Q853" s="11" t="n">
        <f aca="false">MIN(P853,'Tax Tables'!$B$31*'Tax Tables'!$B$32)</f>
        <v>96000</v>
      </c>
      <c r="R853" s="11" t="n">
        <f aca="false">P853-Q853</f>
        <v>324000</v>
      </c>
      <c r="S853" s="11" t="n">
        <f aca="false">IF(Calculator!$B$6="Yes",MIN(Q853,'Tax Tables'!$B$31*'Tax Tables'!$B$32),0)</f>
        <v>96000</v>
      </c>
      <c r="T853" s="11" t="n">
        <f aca="false">S853*Calculator!$B$7</f>
        <v>19200</v>
      </c>
      <c r="U853" s="11" t="n">
        <f aca="false">S853*Calculator!$B$8</f>
        <v>16320</v>
      </c>
      <c r="V853" s="11" t="n">
        <f aca="false">IF(Q853&gt;0,'Tax Tables'!$B$32*MIN(MAX(Q853/'Tax Tables'!$B$32*'Tax Tables'!$B$33,'Tax Tables'!$B$34),'Tax Tables'!$B$35),0)</f>
        <v>135</v>
      </c>
      <c r="W853" s="11" t="n">
        <f aca="false">Calculator!$B$5-P853-U853-V853</f>
        <v>-36455</v>
      </c>
      <c r="X853" s="11" t="n">
        <f aca="false">'Tax Tables'!$B$22*(MAX(W853,0)-IF(Calculator!$B$10="Yes",MIN(MAX(W853,0),'Tax Tables'!$B$27)*'Tax Tables'!$B$28+MIN(MAX(MAX(W853,0)-'Tax Tables'!$B$27,0),'Tax Tables'!$B$29)*'Tax Tables'!$B$30,MIN(MAX(W853,0),'Tax Tables'!$B$23)*'Tax Tables'!$B$24+MIN(MAX(MAX(W853,0)-'Tax Tables'!$B$23,0),'Tax Tables'!$B$25)*'Tax Tables'!$B$26))*1-MIN('Tax Tables'!$B$22*(MAX(W853,0)-IF(Calculator!$B$10="Yes",MIN(MAX(W853,0),'Tax Tables'!$B$27)*'Tax Tables'!$B$28+MIN(MAX(MAX(W853,0)-'Tax Tables'!$B$27,0),'Tax Tables'!$B$29)*'Tax Tables'!$B$30,MIN(MAX(W853,0),'Tax Tables'!$B$23)*'Tax Tables'!$B$24+MIN(MAX(MAX(W853,0)-'Tax Tables'!$B$23,0),'Tax Tables'!$B$25)*'Tax Tables'!$B$26))*Calculator!$B$11,Calculator!$B$12)</f>
        <v>0</v>
      </c>
      <c r="Y853" s="11" t="n">
        <f aca="false">MAX(W853,0)-X853</f>
        <v>0</v>
      </c>
      <c r="Z853" s="11" t="n">
        <f aca="false">MIN(IF(P853&gt;0,Calculator!$B$13,0)+T853+Calculator!$B$14,'Tax Tables'!$B$36)</f>
        <v>20200</v>
      </c>
      <c r="AA853" s="11" t="n">
        <f aca="false">MAX(P853-Z853,0)</f>
        <v>399800</v>
      </c>
      <c r="AB853" s="11" t="n">
        <f aca="false">SUMPRODUCT((AA853&gt;'Tax Tables'!$A$5:$A$17)*(AA853-'Tax Tables'!$A$5:$A$17)*'Tax Tables'!$C$5:$C$17)</f>
        <v>62106</v>
      </c>
      <c r="AC853" s="11" t="n">
        <f aca="false">IF(W853&lt;0,-1E+099,P853-T853-AB853+Y853+(T853+U853)*Calculator!$B$9)</f>
        <v>-1E+099</v>
      </c>
    </row>
    <row r="854" customFormat="false" ht="15" hidden="false" customHeight="false" outlineLevel="0" collapsed="false">
      <c r="A854" s="11" t="n">
        <f aca="false">841*$B$3</f>
        <v>420500</v>
      </c>
      <c r="B854" s="11" t="n">
        <f aca="false">0</f>
        <v>0</v>
      </c>
      <c r="C854" s="11" t="n">
        <f aca="false">A854-B854</f>
        <v>420500</v>
      </c>
      <c r="D854" s="11" t="n">
        <f aca="false">IF(Calculator!$B$6="Yes",MIN(B854,'Tax Tables'!$B$31*'Tax Tables'!$B$32),0)</f>
        <v>0</v>
      </c>
      <c r="E854" s="11" t="n">
        <f aca="false">D854*Calculator!$B$7</f>
        <v>0</v>
      </c>
      <c r="F854" s="11" t="n">
        <f aca="false">D854*Calculator!$B$8</f>
        <v>0</v>
      </c>
      <c r="G854" s="11" t="n">
        <f aca="false">IF(B854&gt;0,'Tax Tables'!$B$32*MIN(MAX(B854/'Tax Tables'!$B$32*'Tax Tables'!$B$33,'Tax Tables'!$B$34),'Tax Tables'!$B$35),0)</f>
        <v>0</v>
      </c>
      <c r="H854" s="11" t="n">
        <f aca="false">Calculator!$B$5-A854-F854-G854</f>
        <v>-20500</v>
      </c>
      <c r="I854" s="11" t="n">
        <f aca="false">'Tax Tables'!$B$22*(MAX(H854,0)-IF(Calculator!$B$10="Yes",MIN(MAX(H854,0),'Tax Tables'!$B$27)*'Tax Tables'!$B$28+MIN(MAX(MAX(H854,0)-'Tax Tables'!$B$27,0),'Tax Tables'!$B$29)*'Tax Tables'!$B$30,MIN(MAX(H854,0),'Tax Tables'!$B$23)*'Tax Tables'!$B$24+MIN(MAX(MAX(H854,0)-'Tax Tables'!$B$23,0),'Tax Tables'!$B$25)*'Tax Tables'!$B$26))*1-MIN('Tax Tables'!$B$22*(MAX(H854,0)-IF(Calculator!$B$10="Yes",MIN(MAX(H854,0),'Tax Tables'!$B$27)*'Tax Tables'!$B$28+MIN(MAX(MAX(H854,0)-'Tax Tables'!$B$27,0),'Tax Tables'!$B$29)*'Tax Tables'!$B$30,MIN(MAX(H854,0),'Tax Tables'!$B$23)*'Tax Tables'!$B$24+MIN(MAX(MAX(H854,0)-'Tax Tables'!$B$23,0),'Tax Tables'!$B$25)*'Tax Tables'!$B$26))*Calculator!$B$11,Calculator!$B$12)</f>
        <v>0</v>
      </c>
      <c r="J854" s="11" t="n">
        <f aca="false">MAX(H854,0)-I854</f>
        <v>0</v>
      </c>
      <c r="K854" s="11" t="n">
        <f aca="false">MIN(IF(A854&gt;0,Calculator!$B$13,0)+E854+Calculator!$B$14,'Tax Tables'!$B$36)</f>
        <v>1000</v>
      </c>
      <c r="L854" s="11" t="n">
        <f aca="false">MAX(A854-K854,0)</f>
        <v>419500</v>
      </c>
      <c r="M854" s="11" t="n">
        <f aca="false">SUMPRODUCT((L854&gt;'Tax Tables'!$A$5:$A$17)*(L854-'Tax Tables'!$A$5:$A$17)*'Tax Tables'!$C$5:$C$17)</f>
        <v>66440</v>
      </c>
      <c r="N854" s="11" t="n">
        <f aca="false">IF(H854&lt;0,-1E+099,A854-E854-M854+J854+(E854+F854)*Calculator!$B$9)</f>
        <v>-1E+099</v>
      </c>
      <c r="O854" s="2"/>
      <c r="P854" s="11" t="n">
        <f aca="false">841*$B$3</f>
        <v>420500</v>
      </c>
      <c r="Q854" s="11" t="n">
        <f aca="false">MIN(P854,'Tax Tables'!$B$31*'Tax Tables'!$B$32)</f>
        <v>96000</v>
      </c>
      <c r="R854" s="11" t="n">
        <f aca="false">P854-Q854</f>
        <v>324500</v>
      </c>
      <c r="S854" s="11" t="n">
        <f aca="false">IF(Calculator!$B$6="Yes",MIN(Q854,'Tax Tables'!$B$31*'Tax Tables'!$B$32),0)</f>
        <v>96000</v>
      </c>
      <c r="T854" s="11" t="n">
        <f aca="false">S854*Calculator!$B$7</f>
        <v>19200</v>
      </c>
      <c r="U854" s="11" t="n">
        <f aca="false">S854*Calculator!$B$8</f>
        <v>16320</v>
      </c>
      <c r="V854" s="11" t="n">
        <f aca="false">IF(Q854&gt;0,'Tax Tables'!$B$32*MIN(MAX(Q854/'Tax Tables'!$B$32*'Tax Tables'!$B$33,'Tax Tables'!$B$34),'Tax Tables'!$B$35),0)</f>
        <v>135</v>
      </c>
      <c r="W854" s="11" t="n">
        <f aca="false">Calculator!$B$5-P854-U854-V854</f>
        <v>-36955</v>
      </c>
      <c r="X854" s="11" t="n">
        <f aca="false">'Tax Tables'!$B$22*(MAX(W854,0)-IF(Calculator!$B$10="Yes",MIN(MAX(W854,0),'Tax Tables'!$B$27)*'Tax Tables'!$B$28+MIN(MAX(MAX(W854,0)-'Tax Tables'!$B$27,0),'Tax Tables'!$B$29)*'Tax Tables'!$B$30,MIN(MAX(W854,0),'Tax Tables'!$B$23)*'Tax Tables'!$B$24+MIN(MAX(MAX(W854,0)-'Tax Tables'!$B$23,0),'Tax Tables'!$B$25)*'Tax Tables'!$B$26))*1-MIN('Tax Tables'!$B$22*(MAX(W854,0)-IF(Calculator!$B$10="Yes",MIN(MAX(W854,0),'Tax Tables'!$B$27)*'Tax Tables'!$B$28+MIN(MAX(MAX(W854,0)-'Tax Tables'!$B$27,0),'Tax Tables'!$B$29)*'Tax Tables'!$B$30,MIN(MAX(W854,0),'Tax Tables'!$B$23)*'Tax Tables'!$B$24+MIN(MAX(MAX(W854,0)-'Tax Tables'!$B$23,0),'Tax Tables'!$B$25)*'Tax Tables'!$B$26))*Calculator!$B$11,Calculator!$B$12)</f>
        <v>0</v>
      </c>
      <c r="Y854" s="11" t="n">
        <f aca="false">MAX(W854,0)-X854</f>
        <v>0</v>
      </c>
      <c r="Z854" s="11" t="n">
        <f aca="false">MIN(IF(P854&gt;0,Calculator!$B$13,0)+T854+Calculator!$B$14,'Tax Tables'!$B$36)</f>
        <v>20200</v>
      </c>
      <c r="AA854" s="11" t="n">
        <f aca="false">MAX(P854-Z854,0)</f>
        <v>400300</v>
      </c>
      <c r="AB854" s="11" t="n">
        <f aca="false">SUMPRODUCT((AA854&gt;'Tax Tables'!$A$5:$A$17)*(AA854-'Tax Tables'!$A$5:$A$17)*'Tax Tables'!$C$5:$C$17)</f>
        <v>62216</v>
      </c>
      <c r="AC854" s="11" t="n">
        <f aca="false">IF(W854&lt;0,-1E+099,P854-T854-AB854+Y854+(T854+U854)*Calculator!$B$9)</f>
        <v>-1E+099</v>
      </c>
    </row>
    <row r="855" customFormat="false" ht="15" hidden="false" customHeight="false" outlineLevel="0" collapsed="false">
      <c r="A855" s="11" t="n">
        <f aca="false">842*$B$3</f>
        <v>421000</v>
      </c>
      <c r="B855" s="11" t="n">
        <f aca="false">0</f>
        <v>0</v>
      </c>
      <c r="C855" s="11" t="n">
        <f aca="false">A855-B855</f>
        <v>421000</v>
      </c>
      <c r="D855" s="11" t="n">
        <f aca="false">IF(Calculator!$B$6="Yes",MIN(B855,'Tax Tables'!$B$31*'Tax Tables'!$B$32),0)</f>
        <v>0</v>
      </c>
      <c r="E855" s="11" t="n">
        <f aca="false">D855*Calculator!$B$7</f>
        <v>0</v>
      </c>
      <c r="F855" s="11" t="n">
        <f aca="false">D855*Calculator!$B$8</f>
        <v>0</v>
      </c>
      <c r="G855" s="11" t="n">
        <f aca="false">IF(B855&gt;0,'Tax Tables'!$B$32*MIN(MAX(B855/'Tax Tables'!$B$32*'Tax Tables'!$B$33,'Tax Tables'!$B$34),'Tax Tables'!$B$35),0)</f>
        <v>0</v>
      </c>
      <c r="H855" s="11" t="n">
        <f aca="false">Calculator!$B$5-A855-F855-G855</f>
        <v>-21000</v>
      </c>
      <c r="I855" s="11" t="n">
        <f aca="false">'Tax Tables'!$B$22*(MAX(H855,0)-IF(Calculator!$B$10="Yes",MIN(MAX(H855,0),'Tax Tables'!$B$27)*'Tax Tables'!$B$28+MIN(MAX(MAX(H855,0)-'Tax Tables'!$B$27,0),'Tax Tables'!$B$29)*'Tax Tables'!$B$30,MIN(MAX(H855,0),'Tax Tables'!$B$23)*'Tax Tables'!$B$24+MIN(MAX(MAX(H855,0)-'Tax Tables'!$B$23,0),'Tax Tables'!$B$25)*'Tax Tables'!$B$26))*1-MIN('Tax Tables'!$B$22*(MAX(H855,0)-IF(Calculator!$B$10="Yes",MIN(MAX(H855,0),'Tax Tables'!$B$27)*'Tax Tables'!$B$28+MIN(MAX(MAX(H855,0)-'Tax Tables'!$B$27,0),'Tax Tables'!$B$29)*'Tax Tables'!$B$30,MIN(MAX(H855,0),'Tax Tables'!$B$23)*'Tax Tables'!$B$24+MIN(MAX(MAX(H855,0)-'Tax Tables'!$B$23,0),'Tax Tables'!$B$25)*'Tax Tables'!$B$26))*Calculator!$B$11,Calculator!$B$12)</f>
        <v>0</v>
      </c>
      <c r="J855" s="11" t="n">
        <f aca="false">MAX(H855,0)-I855</f>
        <v>0</v>
      </c>
      <c r="K855" s="11" t="n">
        <f aca="false">MIN(IF(A855&gt;0,Calculator!$B$13,0)+E855+Calculator!$B$14,'Tax Tables'!$B$36)</f>
        <v>1000</v>
      </c>
      <c r="L855" s="11" t="n">
        <f aca="false">MAX(A855-K855,0)</f>
        <v>420000</v>
      </c>
      <c r="M855" s="11" t="n">
        <f aca="false">SUMPRODUCT((L855&gt;'Tax Tables'!$A$5:$A$17)*(L855-'Tax Tables'!$A$5:$A$17)*'Tax Tables'!$C$5:$C$17)</f>
        <v>66550</v>
      </c>
      <c r="N855" s="11" t="n">
        <f aca="false">IF(H855&lt;0,-1E+099,A855-E855-M855+J855+(E855+F855)*Calculator!$B$9)</f>
        <v>-1E+099</v>
      </c>
      <c r="O855" s="2"/>
      <c r="P855" s="11" t="n">
        <f aca="false">842*$B$3</f>
        <v>421000</v>
      </c>
      <c r="Q855" s="11" t="n">
        <f aca="false">MIN(P855,'Tax Tables'!$B$31*'Tax Tables'!$B$32)</f>
        <v>96000</v>
      </c>
      <c r="R855" s="11" t="n">
        <f aca="false">P855-Q855</f>
        <v>325000</v>
      </c>
      <c r="S855" s="11" t="n">
        <f aca="false">IF(Calculator!$B$6="Yes",MIN(Q855,'Tax Tables'!$B$31*'Tax Tables'!$B$32),0)</f>
        <v>96000</v>
      </c>
      <c r="T855" s="11" t="n">
        <f aca="false">S855*Calculator!$B$7</f>
        <v>19200</v>
      </c>
      <c r="U855" s="11" t="n">
        <f aca="false">S855*Calculator!$B$8</f>
        <v>16320</v>
      </c>
      <c r="V855" s="11" t="n">
        <f aca="false">IF(Q855&gt;0,'Tax Tables'!$B$32*MIN(MAX(Q855/'Tax Tables'!$B$32*'Tax Tables'!$B$33,'Tax Tables'!$B$34),'Tax Tables'!$B$35),0)</f>
        <v>135</v>
      </c>
      <c r="W855" s="11" t="n">
        <f aca="false">Calculator!$B$5-P855-U855-V855</f>
        <v>-37455</v>
      </c>
      <c r="X855" s="11" t="n">
        <f aca="false">'Tax Tables'!$B$22*(MAX(W855,0)-IF(Calculator!$B$10="Yes",MIN(MAX(W855,0),'Tax Tables'!$B$27)*'Tax Tables'!$B$28+MIN(MAX(MAX(W855,0)-'Tax Tables'!$B$27,0),'Tax Tables'!$B$29)*'Tax Tables'!$B$30,MIN(MAX(W855,0),'Tax Tables'!$B$23)*'Tax Tables'!$B$24+MIN(MAX(MAX(W855,0)-'Tax Tables'!$B$23,0),'Tax Tables'!$B$25)*'Tax Tables'!$B$26))*1-MIN('Tax Tables'!$B$22*(MAX(W855,0)-IF(Calculator!$B$10="Yes",MIN(MAX(W855,0),'Tax Tables'!$B$27)*'Tax Tables'!$B$28+MIN(MAX(MAX(W855,0)-'Tax Tables'!$B$27,0),'Tax Tables'!$B$29)*'Tax Tables'!$B$30,MIN(MAX(W855,0),'Tax Tables'!$B$23)*'Tax Tables'!$B$24+MIN(MAX(MAX(W855,0)-'Tax Tables'!$B$23,0),'Tax Tables'!$B$25)*'Tax Tables'!$B$26))*Calculator!$B$11,Calculator!$B$12)</f>
        <v>0</v>
      </c>
      <c r="Y855" s="11" t="n">
        <f aca="false">MAX(W855,0)-X855</f>
        <v>0</v>
      </c>
      <c r="Z855" s="11" t="n">
        <f aca="false">MIN(IF(P855&gt;0,Calculator!$B$13,0)+T855+Calculator!$B$14,'Tax Tables'!$B$36)</f>
        <v>20200</v>
      </c>
      <c r="AA855" s="11" t="n">
        <f aca="false">MAX(P855-Z855,0)</f>
        <v>400800</v>
      </c>
      <c r="AB855" s="11" t="n">
        <f aca="false">SUMPRODUCT((AA855&gt;'Tax Tables'!$A$5:$A$17)*(AA855-'Tax Tables'!$A$5:$A$17)*'Tax Tables'!$C$5:$C$17)</f>
        <v>62326</v>
      </c>
      <c r="AC855" s="11" t="n">
        <f aca="false">IF(W855&lt;0,-1E+099,P855-T855-AB855+Y855+(T855+U855)*Calculator!$B$9)</f>
        <v>-1E+099</v>
      </c>
    </row>
    <row r="856" customFormat="false" ht="15" hidden="false" customHeight="false" outlineLevel="0" collapsed="false">
      <c r="A856" s="11" t="n">
        <f aca="false">843*$B$3</f>
        <v>421500</v>
      </c>
      <c r="B856" s="11" t="n">
        <f aca="false">0</f>
        <v>0</v>
      </c>
      <c r="C856" s="11" t="n">
        <f aca="false">A856-B856</f>
        <v>421500</v>
      </c>
      <c r="D856" s="11" t="n">
        <f aca="false">IF(Calculator!$B$6="Yes",MIN(B856,'Tax Tables'!$B$31*'Tax Tables'!$B$32),0)</f>
        <v>0</v>
      </c>
      <c r="E856" s="11" t="n">
        <f aca="false">D856*Calculator!$B$7</f>
        <v>0</v>
      </c>
      <c r="F856" s="11" t="n">
        <f aca="false">D856*Calculator!$B$8</f>
        <v>0</v>
      </c>
      <c r="G856" s="11" t="n">
        <f aca="false">IF(B856&gt;0,'Tax Tables'!$B$32*MIN(MAX(B856/'Tax Tables'!$B$32*'Tax Tables'!$B$33,'Tax Tables'!$B$34),'Tax Tables'!$B$35),0)</f>
        <v>0</v>
      </c>
      <c r="H856" s="11" t="n">
        <f aca="false">Calculator!$B$5-A856-F856-G856</f>
        <v>-21500</v>
      </c>
      <c r="I856" s="11" t="n">
        <f aca="false">'Tax Tables'!$B$22*(MAX(H856,0)-IF(Calculator!$B$10="Yes",MIN(MAX(H856,0),'Tax Tables'!$B$27)*'Tax Tables'!$B$28+MIN(MAX(MAX(H856,0)-'Tax Tables'!$B$27,0),'Tax Tables'!$B$29)*'Tax Tables'!$B$30,MIN(MAX(H856,0),'Tax Tables'!$B$23)*'Tax Tables'!$B$24+MIN(MAX(MAX(H856,0)-'Tax Tables'!$B$23,0),'Tax Tables'!$B$25)*'Tax Tables'!$B$26))*1-MIN('Tax Tables'!$B$22*(MAX(H856,0)-IF(Calculator!$B$10="Yes",MIN(MAX(H856,0),'Tax Tables'!$B$27)*'Tax Tables'!$B$28+MIN(MAX(MAX(H856,0)-'Tax Tables'!$B$27,0),'Tax Tables'!$B$29)*'Tax Tables'!$B$30,MIN(MAX(H856,0),'Tax Tables'!$B$23)*'Tax Tables'!$B$24+MIN(MAX(MAX(H856,0)-'Tax Tables'!$B$23,0),'Tax Tables'!$B$25)*'Tax Tables'!$B$26))*Calculator!$B$11,Calculator!$B$12)</f>
        <v>0</v>
      </c>
      <c r="J856" s="11" t="n">
        <f aca="false">MAX(H856,0)-I856</f>
        <v>0</v>
      </c>
      <c r="K856" s="11" t="n">
        <f aca="false">MIN(IF(A856&gt;0,Calculator!$B$13,0)+E856+Calculator!$B$14,'Tax Tables'!$B$36)</f>
        <v>1000</v>
      </c>
      <c r="L856" s="11" t="n">
        <f aca="false">MAX(A856-K856,0)</f>
        <v>420500</v>
      </c>
      <c r="M856" s="11" t="n">
        <f aca="false">SUMPRODUCT((L856&gt;'Tax Tables'!$A$5:$A$17)*(L856-'Tax Tables'!$A$5:$A$17)*'Tax Tables'!$C$5:$C$17)</f>
        <v>66660</v>
      </c>
      <c r="N856" s="11" t="n">
        <f aca="false">IF(H856&lt;0,-1E+099,A856-E856-M856+J856+(E856+F856)*Calculator!$B$9)</f>
        <v>-1E+099</v>
      </c>
      <c r="O856" s="2"/>
      <c r="P856" s="11" t="n">
        <f aca="false">843*$B$3</f>
        <v>421500</v>
      </c>
      <c r="Q856" s="11" t="n">
        <f aca="false">MIN(P856,'Tax Tables'!$B$31*'Tax Tables'!$B$32)</f>
        <v>96000</v>
      </c>
      <c r="R856" s="11" t="n">
        <f aca="false">P856-Q856</f>
        <v>325500</v>
      </c>
      <c r="S856" s="11" t="n">
        <f aca="false">IF(Calculator!$B$6="Yes",MIN(Q856,'Tax Tables'!$B$31*'Tax Tables'!$B$32),0)</f>
        <v>96000</v>
      </c>
      <c r="T856" s="11" t="n">
        <f aca="false">S856*Calculator!$B$7</f>
        <v>19200</v>
      </c>
      <c r="U856" s="11" t="n">
        <f aca="false">S856*Calculator!$B$8</f>
        <v>16320</v>
      </c>
      <c r="V856" s="11" t="n">
        <f aca="false">IF(Q856&gt;0,'Tax Tables'!$B$32*MIN(MAX(Q856/'Tax Tables'!$B$32*'Tax Tables'!$B$33,'Tax Tables'!$B$34),'Tax Tables'!$B$35),0)</f>
        <v>135</v>
      </c>
      <c r="W856" s="11" t="n">
        <f aca="false">Calculator!$B$5-P856-U856-V856</f>
        <v>-37955</v>
      </c>
      <c r="X856" s="11" t="n">
        <f aca="false">'Tax Tables'!$B$22*(MAX(W856,0)-IF(Calculator!$B$10="Yes",MIN(MAX(W856,0),'Tax Tables'!$B$27)*'Tax Tables'!$B$28+MIN(MAX(MAX(W856,0)-'Tax Tables'!$B$27,0),'Tax Tables'!$B$29)*'Tax Tables'!$B$30,MIN(MAX(W856,0),'Tax Tables'!$B$23)*'Tax Tables'!$B$24+MIN(MAX(MAX(W856,0)-'Tax Tables'!$B$23,0),'Tax Tables'!$B$25)*'Tax Tables'!$B$26))*1-MIN('Tax Tables'!$B$22*(MAX(W856,0)-IF(Calculator!$B$10="Yes",MIN(MAX(W856,0),'Tax Tables'!$B$27)*'Tax Tables'!$B$28+MIN(MAX(MAX(W856,0)-'Tax Tables'!$B$27,0),'Tax Tables'!$B$29)*'Tax Tables'!$B$30,MIN(MAX(W856,0),'Tax Tables'!$B$23)*'Tax Tables'!$B$24+MIN(MAX(MAX(W856,0)-'Tax Tables'!$B$23,0),'Tax Tables'!$B$25)*'Tax Tables'!$B$26))*Calculator!$B$11,Calculator!$B$12)</f>
        <v>0</v>
      </c>
      <c r="Y856" s="11" t="n">
        <f aca="false">MAX(W856,0)-X856</f>
        <v>0</v>
      </c>
      <c r="Z856" s="11" t="n">
        <f aca="false">MIN(IF(P856&gt;0,Calculator!$B$13,0)+T856+Calculator!$B$14,'Tax Tables'!$B$36)</f>
        <v>20200</v>
      </c>
      <c r="AA856" s="11" t="n">
        <f aca="false">MAX(P856-Z856,0)</f>
        <v>401300</v>
      </c>
      <c r="AB856" s="11" t="n">
        <f aca="false">SUMPRODUCT((AA856&gt;'Tax Tables'!$A$5:$A$17)*(AA856-'Tax Tables'!$A$5:$A$17)*'Tax Tables'!$C$5:$C$17)</f>
        <v>62436</v>
      </c>
      <c r="AC856" s="11" t="n">
        <f aca="false">IF(W856&lt;0,-1E+099,P856-T856-AB856+Y856+(T856+U856)*Calculator!$B$9)</f>
        <v>-1E+099</v>
      </c>
    </row>
    <row r="857" customFormat="false" ht="15" hidden="false" customHeight="false" outlineLevel="0" collapsed="false">
      <c r="A857" s="11" t="n">
        <f aca="false">844*$B$3</f>
        <v>422000</v>
      </c>
      <c r="B857" s="11" t="n">
        <f aca="false">0</f>
        <v>0</v>
      </c>
      <c r="C857" s="11" t="n">
        <f aca="false">A857-B857</f>
        <v>422000</v>
      </c>
      <c r="D857" s="11" t="n">
        <f aca="false">IF(Calculator!$B$6="Yes",MIN(B857,'Tax Tables'!$B$31*'Tax Tables'!$B$32),0)</f>
        <v>0</v>
      </c>
      <c r="E857" s="11" t="n">
        <f aca="false">D857*Calculator!$B$7</f>
        <v>0</v>
      </c>
      <c r="F857" s="11" t="n">
        <f aca="false">D857*Calculator!$B$8</f>
        <v>0</v>
      </c>
      <c r="G857" s="11" t="n">
        <f aca="false">IF(B857&gt;0,'Tax Tables'!$B$32*MIN(MAX(B857/'Tax Tables'!$B$32*'Tax Tables'!$B$33,'Tax Tables'!$B$34),'Tax Tables'!$B$35),0)</f>
        <v>0</v>
      </c>
      <c r="H857" s="11" t="n">
        <f aca="false">Calculator!$B$5-A857-F857-G857</f>
        <v>-22000</v>
      </c>
      <c r="I857" s="11" t="n">
        <f aca="false">'Tax Tables'!$B$22*(MAX(H857,0)-IF(Calculator!$B$10="Yes",MIN(MAX(H857,0),'Tax Tables'!$B$27)*'Tax Tables'!$B$28+MIN(MAX(MAX(H857,0)-'Tax Tables'!$B$27,0),'Tax Tables'!$B$29)*'Tax Tables'!$B$30,MIN(MAX(H857,0),'Tax Tables'!$B$23)*'Tax Tables'!$B$24+MIN(MAX(MAX(H857,0)-'Tax Tables'!$B$23,0),'Tax Tables'!$B$25)*'Tax Tables'!$B$26))*1-MIN('Tax Tables'!$B$22*(MAX(H857,0)-IF(Calculator!$B$10="Yes",MIN(MAX(H857,0),'Tax Tables'!$B$27)*'Tax Tables'!$B$28+MIN(MAX(MAX(H857,0)-'Tax Tables'!$B$27,0),'Tax Tables'!$B$29)*'Tax Tables'!$B$30,MIN(MAX(H857,0),'Tax Tables'!$B$23)*'Tax Tables'!$B$24+MIN(MAX(MAX(H857,0)-'Tax Tables'!$B$23,0),'Tax Tables'!$B$25)*'Tax Tables'!$B$26))*Calculator!$B$11,Calculator!$B$12)</f>
        <v>0</v>
      </c>
      <c r="J857" s="11" t="n">
        <f aca="false">MAX(H857,0)-I857</f>
        <v>0</v>
      </c>
      <c r="K857" s="11" t="n">
        <f aca="false">MIN(IF(A857&gt;0,Calculator!$B$13,0)+E857+Calculator!$B$14,'Tax Tables'!$B$36)</f>
        <v>1000</v>
      </c>
      <c r="L857" s="11" t="n">
        <f aca="false">MAX(A857-K857,0)</f>
        <v>421000</v>
      </c>
      <c r="M857" s="11" t="n">
        <f aca="false">SUMPRODUCT((L857&gt;'Tax Tables'!$A$5:$A$17)*(L857-'Tax Tables'!$A$5:$A$17)*'Tax Tables'!$C$5:$C$17)</f>
        <v>66770</v>
      </c>
      <c r="N857" s="11" t="n">
        <f aca="false">IF(H857&lt;0,-1E+099,A857-E857-M857+J857+(E857+F857)*Calculator!$B$9)</f>
        <v>-1E+099</v>
      </c>
      <c r="O857" s="2"/>
      <c r="P857" s="11" t="n">
        <f aca="false">844*$B$3</f>
        <v>422000</v>
      </c>
      <c r="Q857" s="11" t="n">
        <f aca="false">MIN(P857,'Tax Tables'!$B$31*'Tax Tables'!$B$32)</f>
        <v>96000</v>
      </c>
      <c r="R857" s="11" t="n">
        <f aca="false">P857-Q857</f>
        <v>326000</v>
      </c>
      <c r="S857" s="11" t="n">
        <f aca="false">IF(Calculator!$B$6="Yes",MIN(Q857,'Tax Tables'!$B$31*'Tax Tables'!$B$32),0)</f>
        <v>96000</v>
      </c>
      <c r="T857" s="11" t="n">
        <f aca="false">S857*Calculator!$B$7</f>
        <v>19200</v>
      </c>
      <c r="U857" s="11" t="n">
        <f aca="false">S857*Calculator!$B$8</f>
        <v>16320</v>
      </c>
      <c r="V857" s="11" t="n">
        <f aca="false">IF(Q857&gt;0,'Tax Tables'!$B$32*MIN(MAX(Q857/'Tax Tables'!$B$32*'Tax Tables'!$B$33,'Tax Tables'!$B$34),'Tax Tables'!$B$35),0)</f>
        <v>135</v>
      </c>
      <c r="W857" s="11" t="n">
        <f aca="false">Calculator!$B$5-P857-U857-V857</f>
        <v>-38455</v>
      </c>
      <c r="X857" s="11" t="n">
        <f aca="false">'Tax Tables'!$B$22*(MAX(W857,0)-IF(Calculator!$B$10="Yes",MIN(MAX(W857,0),'Tax Tables'!$B$27)*'Tax Tables'!$B$28+MIN(MAX(MAX(W857,0)-'Tax Tables'!$B$27,0),'Tax Tables'!$B$29)*'Tax Tables'!$B$30,MIN(MAX(W857,0),'Tax Tables'!$B$23)*'Tax Tables'!$B$24+MIN(MAX(MAX(W857,0)-'Tax Tables'!$B$23,0),'Tax Tables'!$B$25)*'Tax Tables'!$B$26))*1-MIN('Tax Tables'!$B$22*(MAX(W857,0)-IF(Calculator!$B$10="Yes",MIN(MAX(W857,0),'Tax Tables'!$B$27)*'Tax Tables'!$B$28+MIN(MAX(MAX(W857,0)-'Tax Tables'!$B$27,0),'Tax Tables'!$B$29)*'Tax Tables'!$B$30,MIN(MAX(W857,0),'Tax Tables'!$B$23)*'Tax Tables'!$B$24+MIN(MAX(MAX(W857,0)-'Tax Tables'!$B$23,0),'Tax Tables'!$B$25)*'Tax Tables'!$B$26))*Calculator!$B$11,Calculator!$B$12)</f>
        <v>0</v>
      </c>
      <c r="Y857" s="11" t="n">
        <f aca="false">MAX(W857,0)-X857</f>
        <v>0</v>
      </c>
      <c r="Z857" s="11" t="n">
        <f aca="false">MIN(IF(P857&gt;0,Calculator!$B$13,0)+T857+Calculator!$B$14,'Tax Tables'!$B$36)</f>
        <v>20200</v>
      </c>
      <c r="AA857" s="11" t="n">
        <f aca="false">MAX(P857-Z857,0)</f>
        <v>401800</v>
      </c>
      <c r="AB857" s="11" t="n">
        <f aca="false">SUMPRODUCT((AA857&gt;'Tax Tables'!$A$5:$A$17)*(AA857-'Tax Tables'!$A$5:$A$17)*'Tax Tables'!$C$5:$C$17)</f>
        <v>62546</v>
      </c>
      <c r="AC857" s="11" t="n">
        <f aca="false">IF(W857&lt;0,-1E+099,P857-T857-AB857+Y857+(T857+U857)*Calculator!$B$9)</f>
        <v>-1E+099</v>
      </c>
    </row>
    <row r="858" customFormat="false" ht="15" hidden="false" customHeight="false" outlineLevel="0" collapsed="false">
      <c r="A858" s="11" t="n">
        <f aca="false">845*$B$3</f>
        <v>422500</v>
      </c>
      <c r="B858" s="11" t="n">
        <f aca="false">0</f>
        <v>0</v>
      </c>
      <c r="C858" s="11" t="n">
        <f aca="false">A858-B858</f>
        <v>422500</v>
      </c>
      <c r="D858" s="11" t="n">
        <f aca="false">IF(Calculator!$B$6="Yes",MIN(B858,'Tax Tables'!$B$31*'Tax Tables'!$B$32),0)</f>
        <v>0</v>
      </c>
      <c r="E858" s="11" t="n">
        <f aca="false">D858*Calculator!$B$7</f>
        <v>0</v>
      </c>
      <c r="F858" s="11" t="n">
        <f aca="false">D858*Calculator!$B$8</f>
        <v>0</v>
      </c>
      <c r="G858" s="11" t="n">
        <f aca="false">IF(B858&gt;0,'Tax Tables'!$B$32*MIN(MAX(B858/'Tax Tables'!$B$32*'Tax Tables'!$B$33,'Tax Tables'!$B$34),'Tax Tables'!$B$35),0)</f>
        <v>0</v>
      </c>
      <c r="H858" s="11" t="n">
        <f aca="false">Calculator!$B$5-A858-F858-G858</f>
        <v>-22500</v>
      </c>
      <c r="I858" s="11" t="n">
        <f aca="false">'Tax Tables'!$B$22*(MAX(H858,0)-IF(Calculator!$B$10="Yes",MIN(MAX(H858,0),'Tax Tables'!$B$27)*'Tax Tables'!$B$28+MIN(MAX(MAX(H858,0)-'Tax Tables'!$B$27,0),'Tax Tables'!$B$29)*'Tax Tables'!$B$30,MIN(MAX(H858,0),'Tax Tables'!$B$23)*'Tax Tables'!$B$24+MIN(MAX(MAX(H858,0)-'Tax Tables'!$B$23,0),'Tax Tables'!$B$25)*'Tax Tables'!$B$26))*1-MIN('Tax Tables'!$B$22*(MAX(H858,0)-IF(Calculator!$B$10="Yes",MIN(MAX(H858,0),'Tax Tables'!$B$27)*'Tax Tables'!$B$28+MIN(MAX(MAX(H858,0)-'Tax Tables'!$B$27,0),'Tax Tables'!$B$29)*'Tax Tables'!$B$30,MIN(MAX(H858,0),'Tax Tables'!$B$23)*'Tax Tables'!$B$24+MIN(MAX(MAX(H858,0)-'Tax Tables'!$B$23,0),'Tax Tables'!$B$25)*'Tax Tables'!$B$26))*Calculator!$B$11,Calculator!$B$12)</f>
        <v>0</v>
      </c>
      <c r="J858" s="11" t="n">
        <f aca="false">MAX(H858,0)-I858</f>
        <v>0</v>
      </c>
      <c r="K858" s="11" t="n">
        <f aca="false">MIN(IF(A858&gt;0,Calculator!$B$13,0)+E858+Calculator!$B$14,'Tax Tables'!$B$36)</f>
        <v>1000</v>
      </c>
      <c r="L858" s="11" t="n">
        <f aca="false">MAX(A858-K858,0)</f>
        <v>421500</v>
      </c>
      <c r="M858" s="11" t="n">
        <f aca="false">SUMPRODUCT((L858&gt;'Tax Tables'!$A$5:$A$17)*(L858-'Tax Tables'!$A$5:$A$17)*'Tax Tables'!$C$5:$C$17)</f>
        <v>66880</v>
      </c>
      <c r="N858" s="11" t="n">
        <f aca="false">IF(H858&lt;0,-1E+099,A858-E858-M858+J858+(E858+F858)*Calculator!$B$9)</f>
        <v>-1E+099</v>
      </c>
      <c r="O858" s="2"/>
      <c r="P858" s="11" t="n">
        <f aca="false">845*$B$3</f>
        <v>422500</v>
      </c>
      <c r="Q858" s="11" t="n">
        <f aca="false">MIN(P858,'Tax Tables'!$B$31*'Tax Tables'!$B$32)</f>
        <v>96000</v>
      </c>
      <c r="R858" s="11" t="n">
        <f aca="false">P858-Q858</f>
        <v>326500</v>
      </c>
      <c r="S858" s="11" t="n">
        <f aca="false">IF(Calculator!$B$6="Yes",MIN(Q858,'Tax Tables'!$B$31*'Tax Tables'!$B$32),0)</f>
        <v>96000</v>
      </c>
      <c r="T858" s="11" t="n">
        <f aca="false">S858*Calculator!$B$7</f>
        <v>19200</v>
      </c>
      <c r="U858" s="11" t="n">
        <f aca="false">S858*Calculator!$B$8</f>
        <v>16320</v>
      </c>
      <c r="V858" s="11" t="n">
        <f aca="false">IF(Q858&gt;0,'Tax Tables'!$B$32*MIN(MAX(Q858/'Tax Tables'!$B$32*'Tax Tables'!$B$33,'Tax Tables'!$B$34),'Tax Tables'!$B$35),0)</f>
        <v>135</v>
      </c>
      <c r="W858" s="11" t="n">
        <f aca="false">Calculator!$B$5-P858-U858-V858</f>
        <v>-38955</v>
      </c>
      <c r="X858" s="11" t="n">
        <f aca="false">'Tax Tables'!$B$22*(MAX(W858,0)-IF(Calculator!$B$10="Yes",MIN(MAX(W858,0),'Tax Tables'!$B$27)*'Tax Tables'!$B$28+MIN(MAX(MAX(W858,0)-'Tax Tables'!$B$27,0),'Tax Tables'!$B$29)*'Tax Tables'!$B$30,MIN(MAX(W858,0),'Tax Tables'!$B$23)*'Tax Tables'!$B$24+MIN(MAX(MAX(W858,0)-'Tax Tables'!$B$23,0),'Tax Tables'!$B$25)*'Tax Tables'!$B$26))*1-MIN('Tax Tables'!$B$22*(MAX(W858,0)-IF(Calculator!$B$10="Yes",MIN(MAX(W858,0),'Tax Tables'!$B$27)*'Tax Tables'!$B$28+MIN(MAX(MAX(W858,0)-'Tax Tables'!$B$27,0),'Tax Tables'!$B$29)*'Tax Tables'!$B$30,MIN(MAX(W858,0),'Tax Tables'!$B$23)*'Tax Tables'!$B$24+MIN(MAX(MAX(W858,0)-'Tax Tables'!$B$23,0),'Tax Tables'!$B$25)*'Tax Tables'!$B$26))*Calculator!$B$11,Calculator!$B$12)</f>
        <v>0</v>
      </c>
      <c r="Y858" s="11" t="n">
        <f aca="false">MAX(W858,0)-X858</f>
        <v>0</v>
      </c>
      <c r="Z858" s="11" t="n">
        <f aca="false">MIN(IF(P858&gt;0,Calculator!$B$13,0)+T858+Calculator!$B$14,'Tax Tables'!$B$36)</f>
        <v>20200</v>
      </c>
      <c r="AA858" s="11" t="n">
        <f aca="false">MAX(P858-Z858,0)</f>
        <v>402300</v>
      </c>
      <c r="AB858" s="11" t="n">
        <f aca="false">SUMPRODUCT((AA858&gt;'Tax Tables'!$A$5:$A$17)*(AA858-'Tax Tables'!$A$5:$A$17)*'Tax Tables'!$C$5:$C$17)</f>
        <v>62656</v>
      </c>
      <c r="AC858" s="11" t="n">
        <f aca="false">IF(W858&lt;0,-1E+099,P858-T858-AB858+Y858+(T858+U858)*Calculator!$B$9)</f>
        <v>-1E+099</v>
      </c>
    </row>
    <row r="859" customFormat="false" ht="15" hidden="false" customHeight="false" outlineLevel="0" collapsed="false">
      <c r="A859" s="11" t="n">
        <f aca="false">846*$B$3</f>
        <v>423000</v>
      </c>
      <c r="B859" s="11" t="n">
        <f aca="false">0</f>
        <v>0</v>
      </c>
      <c r="C859" s="11" t="n">
        <f aca="false">A859-B859</f>
        <v>423000</v>
      </c>
      <c r="D859" s="11" t="n">
        <f aca="false">IF(Calculator!$B$6="Yes",MIN(B859,'Tax Tables'!$B$31*'Tax Tables'!$B$32),0)</f>
        <v>0</v>
      </c>
      <c r="E859" s="11" t="n">
        <f aca="false">D859*Calculator!$B$7</f>
        <v>0</v>
      </c>
      <c r="F859" s="11" t="n">
        <f aca="false">D859*Calculator!$B$8</f>
        <v>0</v>
      </c>
      <c r="G859" s="11" t="n">
        <f aca="false">IF(B859&gt;0,'Tax Tables'!$B$32*MIN(MAX(B859/'Tax Tables'!$B$32*'Tax Tables'!$B$33,'Tax Tables'!$B$34),'Tax Tables'!$B$35),0)</f>
        <v>0</v>
      </c>
      <c r="H859" s="11" t="n">
        <f aca="false">Calculator!$B$5-A859-F859-G859</f>
        <v>-23000</v>
      </c>
      <c r="I859" s="11" t="n">
        <f aca="false">'Tax Tables'!$B$22*(MAX(H859,0)-IF(Calculator!$B$10="Yes",MIN(MAX(H859,0),'Tax Tables'!$B$27)*'Tax Tables'!$B$28+MIN(MAX(MAX(H859,0)-'Tax Tables'!$B$27,0),'Tax Tables'!$B$29)*'Tax Tables'!$B$30,MIN(MAX(H859,0),'Tax Tables'!$B$23)*'Tax Tables'!$B$24+MIN(MAX(MAX(H859,0)-'Tax Tables'!$B$23,0),'Tax Tables'!$B$25)*'Tax Tables'!$B$26))*1-MIN('Tax Tables'!$B$22*(MAX(H859,0)-IF(Calculator!$B$10="Yes",MIN(MAX(H859,0),'Tax Tables'!$B$27)*'Tax Tables'!$B$28+MIN(MAX(MAX(H859,0)-'Tax Tables'!$B$27,0),'Tax Tables'!$B$29)*'Tax Tables'!$B$30,MIN(MAX(H859,0),'Tax Tables'!$B$23)*'Tax Tables'!$B$24+MIN(MAX(MAX(H859,0)-'Tax Tables'!$B$23,0),'Tax Tables'!$B$25)*'Tax Tables'!$B$26))*Calculator!$B$11,Calculator!$B$12)</f>
        <v>0</v>
      </c>
      <c r="J859" s="11" t="n">
        <f aca="false">MAX(H859,0)-I859</f>
        <v>0</v>
      </c>
      <c r="K859" s="11" t="n">
        <f aca="false">MIN(IF(A859&gt;0,Calculator!$B$13,0)+E859+Calculator!$B$14,'Tax Tables'!$B$36)</f>
        <v>1000</v>
      </c>
      <c r="L859" s="11" t="n">
        <f aca="false">MAX(A859-K859,0)</f>
        <v>422000</v>
      </c>
      <c r="M859" s="11" t="n">
        <f aca="false">SUMPRODUCT((L859&gt;'Tax Tables'!$A$5:$A$17)*(L859-'Tax Tables'!$A$5:$A$17)*'Tax Tables'!$C$5:$C$17)</f>
        <v>66990</v>
      </c>
      <c r="N859" s="11" t="n">
        <f aca="false">IF(H859&lt;0,-1E+099,A859-E859-M859+J859+(E859+F859)*Calculator!$B$9)</f>
        <v>-1E+099</v>
      </c>
      <c r="O859" s="2"/>
      <c r="P859" s="11" t="n">
        <f aca="false">846*$B$3</f>
        <v>423000</v>
      </c>
      <c r="Q859" s="11" t="n">
        <f aca="false">MIN(P859,'Tax Tables'!$B$31*'Tax Tables'!$B$32)</f>
        <v>96000</v>
      </c>
      <c r="R859" s="11" t="n">
        <f aca="false">P859-Q859</f>
        <v>327000</v>
      </c>
      <c r="S859" s="11" t="n">
        <f aca="false">IF(Calculator!$B$6="Yes",MIN(Q859,'Tax Tables'!$B$31*'Tax Tables'!$B$32),0)</f>
        <v>96000</v>
      </c>
      <c r="T859" s="11" t="n">
        <f aca="false">S859*Calculator!$B$7</f>
        <v>19200</v>
      </c>
      <c r="U859" s="11" t="n">
        <f aca="false">S859*Calculator!$B$8</f>
        <v>16320</v>
      </c>
      <c r="V859" s="11" t="n">
        <f aca="false">IF(Q859&gt;0,'Tax Tables'!$B$32*MIN(MAX(Q859/'Tax Tables'!$B$32*'Tax Tables'!$B$33,'Tax Tables'!$B$34),'Tax Tables'!$B$35),0)</f>
        <v>135</v>
      </c>
      <c r="W859" s="11" t="n">
        <f aca="false">Calculator!$B$5-P859-U859-V859</f>
        <v>-39455</v>
      </c>
      <c r="X859" s="11" t="n">
        <f aca="false">'Tax Tables'!$B$22*(MAX(W859,0)-IF(Calculator!$B$10="Yes",MIN(MAX(W859,0),'Tax Tables'!$B$27)*'Tax Tables'!$B$28+MIN(MAX(MAX(W859,0)-'Tax Tables'!$B$27,0),'Tax Tables'!$B$29)*'Tax Tables'!$B$30,MIN(MAX(W859,0),'Tax Tables'!$B$23)*'Tax Tables'!$B$24+MIN(MAX(MAX(W859,0)-'Tax Tables'!$B$23,0),'Tax Tables'!$B$25)*'Tax Tables'!$B$26))*1-MIN('Tax Tables'!$B$22*(MAX(W859,0)-IF(Calculator!$B$10="Yes",MIN(MAX(W859,0),'Tax Tables'!$B$27)*'Tax Tables'!$B$28+MIN(MAX(MAX(W859,0)-'Tax Tables'!$B$27,0),'Tax Tables'!$B$29)*'Tax Tables'!$B$30,MIN(MAX(W859,0),'Tax Tables'!$B$23)*'Tax Tables'!$B$24+MIN(MAX(MAX(W859,0)-'Tax Tables'!$B$23,0),'Tax Tables'!$B$25)*'Tax Tables'!$B$26))*Calculator!$B$11,Calculator!$B$12)</f>
        <v>0</v>
      </c>
      <c r="Y859" s="11" t="n">
        <f aca="false">MAX(W859,0)-X859</f>
        <v>0</v>
      </c>
      <c r="Z859" s="11" t="n">
        <f aca="false">MIN(IF(P859&gt;0,Calculator!$B$13,0)+T859+Calculator!$B$14,'Tax Tables'!$B$36)</f>
        <v>20200</v>
      </c>
      <c r="AA859" s="11" t="n">
        <f aca="false">MAX(P859-Z859,0)</f>
        <v>402800</v>
      </c>
      <c r="AB859" s="11" t="n">
        <f aca="false">SUMPRODUCT((AA859&gt;'Tax Tables'!$A$5:$A$17)*(AA859-'Tax Tables'!$A$5:$A$17)*'Tax Tables'!$C$5:$C$17)</f>
        <v>62766</v>
      </c>
      <c r="AC859" s="11" t="n">
        <f aca="false">IF(W859&lt;0,-1E+099,P859-T859-AB859+Y859+(T859+U859)*Calculator!$B$9)</f>
        <v>-1E+099</v>
      </c>
    </row>
    <row r="860" customFormat="false" ht="15" hidden="false" customHeight="false" outlineLevel="0" collapsed="false">
      <c r="A860" s="11" t="n">
        <f aca="false">847*$B$3</f>
        <v>423500</v>
      </c>
      <c r="B860" s="11" t="n">
        <f aca="false">0</f>
        <v>0</v>
      </c>
      <c r="C860" s="11" t="n">
        <f aca="false">A860-B860</f>
        <v>423500</v>
      </c>
      <c r="D860" s="11" t="n">
        <f aca="false">IF(Calculator!$B$6="Yes",MIN(B860,'Tax Tables'!$B$31*'Tax Tables'!$B$32),0)</f>
        <v>0</v>
      </c>
      <c r="E860" s="11" t="n">
        <f aca="false">D860*Calculator!$B$7</f>
        <v>0</v>
      </c>
      <c r="F860" s="11" t="n">
        <f aca="false">D860*Calculator!$B$8</f>
        <v>0</v>
      </c>
      <c r="G860" s="11" t="n">
        <f aca="false">IF(B860&gt;0,'Tax Tables'!$B$32*MIN(MAX(B860/'Tax Tables'!$B$32*'Tax Tables'!$B$33,'Tax Tables'!$B$34),'Tax Tables'!$B$35),0)</f>
        <v>0</v>
      </c>
      <c r="H860" s="11" t="n">
        <f aca="false">Calculator!$B$5-A860-F860-G860</f>
        <v>-23500</v>
      </c>
      <c r="I860" s="11" t="n">
        <f aca="false">'Tax Tables'!$B$22*(MAX(H860,0)-IF(Calculator!$B$10="Yes",MIN(MAX(H860,0),'Tax Tables'!$B$27)*'Tax Tables'!$B$28+MIN(MAX(MAX(H860,0)-'Tax Tables'!$B$27,0),'Tax Tables'!$B$29)*'Tax Tables'!$B$30,MIN(MAX(H860,0),'Tax Tables'!$B$23)*'Tax Tables'!$B$24+MIN(MAX(MAX(H860,0)-'Tax Tables'!$B$23,0),'Tax Tables'!$B$25)*'Tax Tables'!$B$26))*1-MIN('Tax Tables'!$B$22*(MAX(H860,0)-IF(Calculator!$B$10="Yes",MIN(MAX(H860,0),'Tax Tables'!$B$27)*'Tax Tables'!$B$28+MIN(MAX(MAX(H860,0)-'Tax Tables'!$B$27,0),'Tax Tables'!$B$29)*'Tax Tables'!$B$30,MIN(MAX(H860,0),'Tax Tables'!$B$23)*'Tax Tables'!$B$24+MIN(MAX(MAX(H860,0)-'Tax Tables'!$B$23,0),'Tax Tables'!$B$25)*'Tax Tables'!$B$26))*Calculator!$B$11,Calculator!$B$12)</f>
        <v>0</v>
      </c>
      <c r="J860" s="11" t="n">
        <f aca="false">MAX(H860,0)-I860</f>
        <v>0</v>
      </c>
      <c r="K860" s="11" t="n">
        <f aca="false">MIN(IF(A860&gt;0,Calculator!$B$13,0)+E860+Calculator!$B$14,'Tax Tables'!$B$36)</f>
        <v>1000</v>
      </c>
      <c r="L860" s="11" t="n">
        <f aca="false">MAX(A860-K860,0)</f>
        <v>422500</v>
      </c>
      <c r="M860" s="11" t="n">
        <f aca="false">SUMPRODUCT((L860&gt;'Tax Tables'!$A$5:$A$17)*(L860-'Tax Tables'!$A$5:$A$17)*'Tax Tables'!$C$5:$C$17)</f>
        <v>67100</v>
      </c>
      <c r="N860" s="11" t="n">
        <f aca="false">IF(H860&lt;0,-1E+099,A860-E860-M860+J860+(E860+F860)*Calculator!$B$9)</f>
        <v>-1E+099</v>
      </c>
      <c r="O860" s="2"/>
      <c r="P860" s="11" t="n">
        <f aca="false">847*$B$3</f>
        <v>423500</v>
      </c>
      <c r="Q860" s="11" t="n">
        <f aca="false">MIN(P860,'Tax Tables'!$B$31*'Tax Tables'!$B$32)</f>
        <v>96000</v>
      </c>
      <c r="R860" s="11" t="n">
        <f aca="false">P860-Q860</f>
        <v>327500</v>
      </c>
      <c r="S860" s="11" t="n">
        <f aca="false">IF(Calculator!$B$6="Yes",MIN(Q860,'Tax Tables'!$B$31*'Tax Tables'!$B$32),0)</f>
        <v>96000</v>
      </c>
      <c r="T860" s="11" t="n">
        <f aca="false">S860*Calculator!$B$7</f>
        <v>19200</v>
      </c>
      <c r="U860" s="11" t="n">
        <f aca="false">S860*Calculator!$B$8</f>
        <v>16320</v>
      </c>
      <c r="V860" s="11" t="n">
        <f aca="false">IF(Q860&gt;0,'Tax Tables'!$B$32*MIN(MAX(Q860/'Tax Tables'!$B$32*'Tax Tables'!$B$33,'Tax Tables'!$B$34),'Tax Tables'!$B$35),0)</f>
        <v>135</v>
      </c>
      <c r="W860" s="11" t="n">
        <f aca="false">Calculator!$B$5-P860-U860-V860</f>
        <v>-39955</v>
      </c>
      <c r="X860" s="11" t="n">
        <f aca="false">'Tax Tables'!$B$22*(MAX(W860,0)-IF(Calculator!$B$10="Yes",MIN(MAX(W860,0),'Tax Tables'!$B$27)*'Tax Tables'!$B$28+MIN(MAX(MAX(W860,0)-'Tax Tables'!$B$27,0),'Tax Tables'!$B$29)*'Tax Tables'!$B$30,MIN(MAX(W860,0),'Tax Tables'!$B$23)*'Tax Tables'!$B$24+MIN(MAX(MAX(W860,0)-'Tax Tables'!$B$23,0),'Tax Tables'!$B$25)*'Tax Tables'!$B$26))*1-MIN('Tax Tables'!$B$22*(MAX(W860,0)-IF(Calculator!$B$10="Yes",MIN(MAX(W860,0),'Tax Tables'!$B$27)*'Tax Tables'!$B$28+MIN(MAX(MAX(W860,0)-'Tax Tables'!$B$27,0),'Tax Tables'!$B$29)*'Tax Tables'!$B$30,MIN(MAX(W860,0),'Tax Tables'!$B$23)*'Tax Tables'!$B$24+MIN(MAX(MAX(W860,0)-'Tax Tables'!$B$23,0),'Tax Tables'!$B$25)*'Tax Tables'!$B$26))*Calculator!$B$11,Calculator!$B$12)</f>
        <v>0</v>
      </c>
      <c r="Y860" s="11" t="n">
        <f aca="false">MAX(W860,0)-X860</f>
        <v>0</v>
      </c>
      <c r="Z860" s="11" t="n">
        <f aca="false">MIN(IF(P860&gt;0,Calculator!$B$13,0)+T860+Calculator!$B$14,'Tax Tables'!$B$36)</f>
        <v>20200</v>
      </c>
      <c r="AA860" s="11" t="n">
        <f aca="false">MAX(P860-Z860,0)</f>
        <v>403300</v>
      </c>
      <c r="AB860" s="11" t="n">
        <f aca="false">SUMPRODUCT((AA860&gt;'Tax Tables'!$A$5:$A$17)*(AA860-'Tax Tables'!$A$5:$A$17)*'Tax Tables'!$C$5:$C$17)</f>
        <v>62876</v>
      </c>
      <c r="AC860" s="11" t="n">
        <f aca="false">IF(W860&lt;0,-1E+099,P860-T860-AB860+Y860+(T860+U860)*Calculator!$B$9)</f>
        <v>-1E+099</v>
      </c>
    </row>
    <row r="861" customFormat="false" ht="15" hidden="false" customHeight="false" outlineLevel="0" collapsed="false">
      <c r="A861" s="11" t="n">
        <f aca="false">848*$B$3</f>
        <v>424000</v>
      </c>
      <c r="B861" s="11" t="n">
        <f aca="false">0</f>
        <v>0</v>
      </c>
      <c r="C861" s="11" t="n">
        <f aca="false">A861-B861</f>
        <v>424000</v>
      </c>
      <c r="D861" s="11" t="n">
        <f aca="false">IF(Calculator!$B$6="Yes",MIN(B861,'Tax Tables'!$B$31*'Tax Tables'!$B$32),0)</f>
        <v>0</v>
      </c>
      <c r="E861" s="11" t="n">
        <f aca="false">D861*Calculator!$B$7</f>
        <v>0</v>
      </c>
      <c r="F861" s="11" t="n">
        <f aca="false">D861*Calculator!$B$8</f>
        <v>0</v>
      </c>
      <c r="G861" s="11" t="n">
        <f aca="false">IF(B861&gt;0,'Tax Tables'!$B$32*MIN(MAX(B861/'Tax Tables'!$B$32*'Tax Tables'!$B$33,'Tax Tables'!$B$34),'Tax Tables'!$B$35),0)</f>
        <v>0</v>
      </c>
      <c r="H861" s="11" t="n">
        <f aca="false">Calculator!$B$5-A861-F861-G861</f>
        <v>-24000</v>
      </c>
      <c r="I861" s="11" t="n">
        <f aca="false">'Tax Tables'!$B$22*(MAX(H861,0)-IF(Calculator!$B$10="Yes",MIN(MAX(H861,0),'Tax Tables'!$B$27)*'Tax Tables'!$B$28+MIN(MAX(MAX(H861,0)-'Tax Tables'!$B$27,0),'Tax Tables'!$B$29)*'Tax Tables'!$B$30,MIN(MAX(H861,0),'Tax Tables'!$B$23)*'Tax Tables'!$B$24+MIN(MAX(MAX(H861,0)-'Tax Tables'!$B$23,0),'Tax Tables'!$B$25)*'Tax Tables'!$B$26))*1-MIN('Tax Tables'!$B$22*(MAX(H861,0)-IF(Calculator!$B$10="Yes",MIN(MAX(H861,0),'Tax Tables'!$B$27)*'Tax Tables'!$B$28+MIN(MAX(MAX(H861,0)-'Tax Tables'!$B$27,0),'Tax Tables'!$B$29)*'Tax Tables'!$B$30,MIN(MAX(H861,0),'Tax Tables'!$B$23)*'Tax Tables'!$B$24+MIN(MAX(MAX(H861,0)-'Tax Tables'!$B$23,0),'Tax Tables'!$B$25)*'Tax Tables'!$B$26))*Calculator!$B$11,Calculator!$B$12)</f>
        <v>0</v>
      </c>
      <c r="J861" s="11" t="n">
        <f aca="false">MAX(H861,0)-I861</f>
        <v>0</v>
      </c>
      <c r="K861" s="11" t="n">
        <f aca="false">MIN(IF(A861&gt;0,Calculator!$B$13,0)+E861+Calculator!$B$14,'Tax Tables'!$B$36)</f>
        <v>1000</v>
      </c>
      <c r="L861" s="11" t="n">
        <f aca="false">MAX(A861-K861,0)</f>
        <v>423000</v>
      </c>
      <c r="M861" s="11" t="n">
        <f aca="false">SUMPRODUCT((L861&gt;'Tax Tables'!$A$5:$A$17)*(L861-'Tax Tables'!$A$5:$A$17)*'Tax Tables'!$C$5:$C$17)</f>
        <v>67210</v>
      </c>
      <c r="N861" s="11" t="n">
        <f aca="false">IF(H861&lt;0,-1E+099,A861-E861-M861+J861+(E861+F861)*Calculator!$B$9)</f>
        <v>-1E+099</v>
      </c>
      <c r="O861" s="2"/>
      <c r="P861" s="11" t="n">
        <f aca="false">848*$B$3</f>
        <v>424000</v>
      </c>
      <c r="Q861" s="11" t="n">
        <f aca="false">MIN(P861,'Tax Tables'!$B$31*'Tax Tables'!$B$32)</f>
        <v>96000</v>
      </c>
      <c r="R861" s="11" t="n">
        <f aca="false">P861-Q861</f>
        <v>328000</v>
      </c>
      <c r="S861" s="11" t="n">
        <f aca="false">IF(Calculator!$B$6="Yes",MIN(Q861,'Tax Tables'!$B$31*'Tax Tables'!$B$32),0)</f>
        <v>96000</v>
      </c>
      <c r="T861" s="11" t="n">
        <f aca="false">S861*Calculator!$B$7</f>
        <v>19200</v>
      </c>
      <c r="U861" s="11" t="n">
        <f aca="false">S861*Calculator!$B$8</f>
        <v>16320</v>
      </c>
      <c r="V861" s="11" t="n">
        <f aca="false">IF(Q861&gt;0,'Tax Tables'!$B$32*MIN(MAX(Q861/'Tax Tables'!$B$32*'Tax Tables'!$B$33,'Tax Tables'!$B$34),'Tax Tables'!$B$35),0)</f>
        <v>135</v>
      </c>
      <c r="W861" s="11" t="n">
        <f aca="false">Calculator!$B$5-P861-U861-V861</f>
        <v>-40455</v>
      </c>
      <c r="X861" s="11" t="n">
        <f aca="false">'Tax Tables'!$B$22*(MAX(W861,0)-IF(Calculator!$B$10="Yes",MIN(MAX(W861,0),'Tax Tables'!$B$27)*'Tax Tables'!$B$28+MIN(MAX(MAX(W861,0)-'Tax Tables'!$B$27,0),'Tax Tables'!$B$29)*'Tax Tables'!$B$30,MIN(MAX(W861,0),'Tax Tables'!$B$23)*'Tax Tables'!$B$24+MIN(MAX(MAX(W861,0)-'Tax Tables'!$B$23,0),'Tax Tables'!$B$25)*'Tax Tables'!$B$26))*1-MIN('Tax Tables'!$B$22*(MAX(W861,0)-IF(Calculator!$B$10="Yes",MIN(MAX(W861,0),'Tax Tables'!$B$27)*'Tax Tables'!$B$28+MIN(MAX(MAX(W861,0)-'Tax Tables'!$B$27,0),'Tax Tables'!$B$29)*'Tax Tables'!$B$30,MIN(MAX(W861,0),'Tax Tables'!$B$23)*'Tax Tables'!$B$24+MIN(MAX(MAX(W861,0)-'Tax Tables'!$B$23,0),'Tax Tables'!$B$25)*'Tax Tables'!$B$26))*Calculator!$B$11,Calculator!$B$12)</f>
        <v>0</v>
      </c>
      <c r="Y861" s="11" t="n">
        <f aca="false">MAX(W861,0)-X861</f>
        <v>0</v>
      </c>
      <c r="Z861" s="11" t="n">
        <f aca="false">MIN(IF(P861&gt;0,Calculator!$B$13,0)+T861+Calculator!$B$14,'Tax Tables'!$B$36)</f>
        <v>20200</v>
      </c>
      <c r="AA861" s="11" t="n">
        <f aca="false">MAX(P861-Z861,0)</f>
        <v>403800</v>
      </c>
      <c r="AB861" s="11" t="n">
        <f aca="false">SUMPRODUCT((AA861&gt;'Tax Tables'!$A$5:$A$17)*(AA861-'Tax Tables'!$A$5:$A$17)*'Tax Tables'!$C$5:$C$17)</f>
        <v>62986</v>
      </c>
      <c r="AC861" s="11" t="n">
        <f aca="false">IF(W861&lt;0,-1E+099,P861-T861-AB861+Y861+(T861+U861)*Calculator!$B$9)</f>
        <v>-1E+099</v>
      </c>
    </row>
    <row r="862" customFormat="false" ht="15" hidden="false" customHeight="false" outlineLevel="0" collapsed="false">
      <c r="A862" s="11" t="n">
        <f aca="false">849*$B$3</f>
        <v>424500</v>
      </c>
      <c r="B862" s="11" t="n">
        <f aca="false">0</f>
        <v>0</v>
      </c>
      <c r="C862" s="11" t="n">
        <f aca="false">A862-B862</f>
        <v>424500</v>
      </c>
      <c r="D862" s="11" t="n">
        <f aca="false">IF(Calculator!$B$6="Yes",MIN(B862,'Tax Tables'!$B$31*'Tax Tables'!$B$32),0)</f>
        <v>0</v>
      </c>
      <c r="E862" s="11" t="n">
        <f aca="false">D862*Calculator!$B$7</f>
        <v>0</v>
      </c>
      <c r="F862" s="11" t="n">
        <f aca="false">D862*Calculator!$B$8</f>
        <v>0</v>
      </c>
      <c r="G862" s="11" t="n">
        <f aca="false">IF(B862&gt;0,'Tax Tables'!$B$32*MIN(MAX(B862/'Tax Tables'!$B$32*'Tax Tables'!$B$33,'Tax Tables'!$B$34),'Tax Tables'!$B$35),0)</f>
        <v>0</v>
      </c>
      <c r="H862" s="11" t="n">
        <f aca="false">Calculator!$B$5-A862-F862-G862</f>
        <v>-24500</v>
      </c>
      <c r="I862" s="11" t="n">
        <f aca="false">'Tax Tables'!$B$22*(MAX(H862,0)-IF(Calculator!$B$10="Yes",MIN(MAX(H862,0),'Tax Tables'!$B$27)*'Tax Tables'!$B$28+MIN(MAX(MAX(H862,0)-'Tax Tables'!$B$27,0),'Tax Tables'!$B$29)*'Tax Tables'!$B$30,MIN(MAX(H862,0),'Tax Tables'!$B$23)*'Tax Tables'!$B$24+MIN(MAX(MAX(H862,0)-'Tax Tables'!$B$23,0),'Tax Tables'!$B$25)*'Tax Tables'!$B$26))*1-MIN('Tax Tables'!$B$22*(MAX(H862,0)-IF(Calculator!$B$10="Yes",MIN(MAX(H862,0),'Tax Tables'!$B$27)*'Tax Tables'!$B$28+MIN(MAX(MAX(H862,0)-'Tax Tables'!$B$27,0),'Tax Tables'!$B$29)*'Tax Tables'!$B$30,MIN(MAX(H862,0),'Tax Tables'!$B$23)*'Tax Tables'!$B$24+MIN(MAX(MAX(H862,0)-'Tax Tables'!$B$23,0),'Tax Tables'!$B$25)*'Tax Tables'!$B$26))*Calculator!$B$11,Calculator!$B$12)</f>
        <v>0</v>
      </c>
      <c r="J862" s="11" t="n">
        <f aca="false">MAX(H862,0)-I862</f>
        <v>0</v>
      </c>
      <c r="K862" s="11" t="n">
        <f aca="false">MIN(IF(A862&gt;0,Calculator!$B$13,0)+E862+Calculator!$B$14,'Tax Tables'!$B$36)</f>
        <v>1000</v>
      </c>
      <c r="L862" s="11" t="n">
        <f aca="false">MAX(A862-K862,0)</f>
        <v>423500</v>
      </c>
      <c r="M862" s="11" t="n">
        <f aca="false">SUMPRODUCT((L862&gt;'Tax Tables'!$A$5:$A$17)*(L862-'Tax Tables'!$A$5:$A$17)*'Tax Tables'!$C$5:$C$17)</f>
        <v>67320</v>
      </c>
      <c r="N862" s="11" t="n">
        <f aca="false">IF(H862&lt;0,-1E+099,A862-E862-M862+J862+(E862+F862)*Calculator!$B$9)</f>
        <v>-1E+099</v>
      </c>
      <c r="O862" s="2"/>
      <c r="P862" s="11" t="n">
        <f aca="false">849*$B$3</f>
        <v>424500</v>
      </c>
      <c r="Q862" s="11" t="n">
        <f aca="false">MIN(P862,'Tax Tables'!$B$31*'Tax Tables'!$B$32)</f>
        <v>96000</v>
      </c>
      <c r="R862" s="11" t="n">
        <f aca="false">P862-Q862</f>
        <v>328500</v>
      </c>
      <c r="S862" s="11" t="n">
        <f aca="false">IF(Calculator!$B$6="Yes",MIN(Q862,'Tax Tables'!$B$31*'Tax Tables'!$B$32),0)</f>
        <v>96000</v>
      </c>
      <c r="T862" s="11" t="n">
        <f aca="false">S862*Calculator!$B$7</f>
        <v>19200</v>
      </c>
      <c r="U862" s="11" t="n">
        <f aca="false">S862*Calculator!$B$8</f>
        <v>16320</v>
      </c>
      <c r="V862" s="11" t="n">
        <f aca="false">IF(Q862&gt;0,'Tax Tables'!$B$32*MIN(MAX(Q862/'Tax Tables'!$B$32*'Tax Tables'!$B$33,'Tax Tables'!$B$34),'Tax Tables'!$B$35),0)</f>
        <v>135</v>
      </c>
      <c r="W862" s="11" t="n">
        <f aca="false">Calculator!$B$5-P862-U862-V862</f>
        <v>-40955</v>
      </c>
      <c r="X862" s="11" t="n">
        <f aca="false">'Tax Tables'!$B$22*(MAX(W862,0)-IF(Calculator!$B$10="Yes",MIN(MAX(W862,0),'Tax Tables'!$B$27)*'Tax Tables'!$B$28+MIN(MAX(MAX(W862,0)-'Tax Tables'!$B$27,0),'Tax Tables'!$B$29)*'Tax Tables'!$B$30,MIN(MAX(W862,0),'Tax Tables'!$B$23)*'Tax Tables'!$B$24+MIN(MAX(MAX(W862,0)-'Tax Tables'!$B$23,0),'Tax Tables'!$B$25)*'Tax Tables'!$B$26))*1-MIN('Tax Tables'!$B$22*(MAX(W862,0)-IF(Calculator!$B$10="Yes",MIN(MAX(W862,0),'Tax Tables'!$B$27)*'Tax Tables'!$B$28+MIN(MAX(MAX(W862,0)-'Tax Tables'!$B$27,0),'Tax Tables'!$B$29)*'Tax Tables'!$B$30,MIN(MAX(W862,0),'Tax Tables'!$B$23)*'Tax Tables'!$B$24+MIN(MAX(MAX(W862,0)-'Tax Tables'!$B$23,0),'Tax Tables'!$B$25)*'Tax Tables'!$B$26))*Calculator!$B$11,Calculator!$B$12)</f>
        <v>0</v>
      </c>
      <c r="Y862" s="11" t="n">
        <f aca="false">MAX(W862,0)-X862</f>
        <v>0</v>
      </c>
      <c r="Z862" s="11" t="n">
        <f aca="false">MIN(IF(P862&gt;0,Calculator!$B$13,0)+T862+Calculator!$B$14,'Tax Tables'!$B$36)</f>
        <v>20200</v>
      </c>
      <c r="AA862" s="11" t="n">
        <f aca="false">MAX(P862-Z862,0)</f>
        <v>404300</v>
      </c>
      <c r="AB862" s="11" t="n">
        <f aca="false">SUMPRODUCT((AA862&gt;'Tax Tables'!$A$5:$A$17)*(AA862-'Tax Tables'!$A$5:$A$17)*'Tax Tables'!$C$5:$C$17)</f>
        <v>63096</v>
      </c>
      <c r="AC862" s="11" t="n">
        <f aca="false">IF(W862&lt;0,-1E+099,P862-T862-AB862+Y862+(T862+U862)*Calculator!$B$9)</f>
        <v>-1E+099</v>
      </c>
    </row>
    <row r="863" customFormat="false" ht="15" hidden="false" customHeight="false" outlineLevel="0" collapsed="false">
      <c r="A863" s="11" t="n">
        <f aca="false">850*$B$3</f>
        <v>425000</v>
      </c>
      <c r="B863" s="11" t="n">
        <f aca="false">0</f>
        <v>0</v>
      </c>
      <c r="C863" s="11" t="n">
        <f aca="false">A863-B863</f>
        <v>425000</v>
      </c>
      <c r="D863" s="11" t="n">
        <f aca="false">IF(Calculator!$B$6="Yes",MIN(B863,'Tax Tables'!$B$31*'Tax Tables'!$B$32),0)</f>
        <v>0</v>
      </c>
      <c r="E863" s="11" t="n">
        <f aca="false">D863*Calculator!$B$7</f>
        <v>0</v>
      </c>
      <c r="F863" s="11" t="n">
        <f aca="false">D863*Calculator!$B$8</f>
        <v>0</v>
      </c>
      <c r="G863" s="11" t="n">
        <f aca="false">IF(B863&gt;0,'Tax Tables'!$B$32*MIN(MAX(B863/'Tax Tables'!$B$32*'Tax Tables'!$B$33,'Tax Tables'!$B$34),'Tax Tables'!$B$35),0)</f>
        <v>0</v>
      </c>
      <c r="H863" s="11" t="n">
        <f aca="false">Calculator!$B$5-A863-F863-G863</f>
        <v>-25000</v>
      </c>
      <c r="I863" s="11" t="n">
        <f aca="false">'Tax Tables'!$B$22*(MAX(H863,0)-IF(Calculator!$B$10="Yes",MIN(MAX(H863,0),'Tax Tables'!$B$27)*'Tax Tables'!$B$28+MIN(MAX(MAX(H863,0)-'Tax Tables'!$B$27,0),'Tax Tables'!$B$29)*'Tax Tables'!$B$30,MIN(MAX(H863,0),'Tax Tables'!$B$23)*'Tax Tables'!$B$24+MIN(MAX(MAX(H863,0)-'Tax Tables'!$B$23,0),'Tax Tables'!$B$25)*'Tax Tables'!$B$26))*1-MIN('Tax Tables'!$B$22*(MAX(H863,0)-IF(Calculator!$B$10="Yes",MIN(MAX(H863,0),'Tax Tables'!$B$27)*'Tax Tables'!$B$28+MIN(MAX(MAX(H863,0)-'Tax Tables'!$B$27,0),'Tax Tables'!$B$29)*'Tax Tables'!$B$30,MIN(MAX(H863,0),'Tax Tables'!$B$23)*'Tax Tables'!$B$24+MIN(MAX(MAX(H863,0)-'Tax Tables'!$B$23,0),'Tax Tables'!$B$25)*'Tax Tables'!$B$26))*Calculator!$B$11,Calculator!$B$12)</f>
        <v>0</v>
      </c>
      <c r="J863" s="11" t="n">
        <f aca="false">MAX(H863,0)-I863</f>
        <v>0</v>
      </c>
      <c r="K863" s="11" t="n">
        <f aca="false">MIN(IF(A863&gt;0,Calculator!$B$13,0)+E863+Calculator!$B$14,'Tax Tables'!$B$36)</f>
        <v>1000</v>
      </c>
      <c r="L863" s="11" t="n">
        <f aca="false">MAX(A863-K863,0)</f>
        <v>424000</v>
      </c>
      <c r="M863" s="11" t="n">
        <f aca="false">SUMPRODUCT((L863&gt;'Tax Tables'!$A$5:$A$17)*(L863-'Tax Tables'!$A$5:$A$17)*'Tax Tables'!$C$5:$C$17)</f>
        <v>67430</v>
      </c>
      <c r="N863" s="11" t="n">
        <f aca="false">IF(H863&lt;0,-1E+099,A863-E863-M863+J863+(E863+F863)*Calculator!$B$9)</f>
        <v>-1E+099</v>
      </c>
      <c r="O863" s="2"/>
      <c r="P863" s="11" t="n">
        <f aca="false">850*$B$3</f>
        <v>425000</v>
      </c>
      <c r="Q863" s="11" t="n">
        <f aca="false">MIN(P863,'Tax Tables'!$B$31*'Tax Tables'!$B$32)</f>
        <v>96000</v>
      </c>
      <c r="R863" s="11" t="n">
        <f aca="false">P863-Q863</f>
        <v>329000</v>
      </c>
      <c r="S863" s="11" t="n">
        <f aca="false">IF(Calculator!$B$6="Yes",MIN(Q863,'Tax Tables'!$B$31*'Tax Tables'!$B$32),0)</f>
        <v>96000</v>
      </c>
      <c r="T863" s="11" t="n">
        <f aca="false">S863*Calculator!$B$7</f>
        <v>19200</v>
      </c>
      <c r="U863" s="11" t="n">
        <f aca="false">S863*Calculator!$B$8</f>
        <v>16320</v>
      </c>
      <c r="V863" s="11" t="n">
        <f aca="false">IF(Q863&gt;0,'Tax Tables'!$B$32*MIN(MAX(Q863/'Tax Tables'!$B$32*'Tax Tables'!$B$33,'Tax Tables'!$B$34),'Tax Tables'!$B$35),0)</f>
        <v>135</v>
      </c>
      <c r="W863" s="11" t="n">
        <f aca="false">Calculator!$B$5-P863-U863-V863</f>
        <v>-41455</v>
      </c>
      <c r="X863" s="11" t="n">
        <f aca="false">'Tax Tables'!$B$22*(MAX(W863,0)-IF(Calculator!$B$10="Yes",MIN(MAX(W863,0),'Tax Tables'!$B$27)*'Tax Tables'!$B$28+MIN(MAX(MAX(W863,0)-'Tax Tables'!$B$27,0),'Tax Tables'!$B$29)*'Tax Tables'!$B$30,MIN(MAX(W863,0),'Tax Tables'!$B$23)*'Tax Tables'!$B$24+MIN(MAX(MAX(W863,0)-'Tax Tables'!$B$23,0),'Tax Tables'!$B$25)*'Tax Tables'!$B$26))*1-MIN('Tax Tables'!$B$22*(MAX(W863,0)-IF(Calculator!$B$10="Yes",MIN(MAX(W863,0),'Tax Tables'!$B$27)*'Tax Tables'!$B$28+MIN(MAX(MAX(W863,0)-'Tax Tables'!$B$27,0),'Tax Tables'!$B$29)*'Tax Tables'!$B$30,MIN(MAX(W863,0),'Tax Tables'!$B$23)*'Tax Tables'!$B$24+MIN(MAX(MAX(W863,0)-'Tax Tables'!$B$23,0),'Tax Tables'!$B$25)*'Tax Tables'!$B$26))*Calculator!$B$11,Calculator!$B$12)</f>
        <v>0</v>
      </c>
      <c r="Y863" s="11" t="n">
        <f aca="false">MAX(W863,0)-X863</f>
        <v>0</v>
      </c>
      <c r="Z863" s="11" t="n">
        <f aca="false">MIN(IF(P863&gt;0,Calculator!$B$13,0)+T863+Calculator!$B$14,'Tax Tables'!$B$36)</f>
        <v>20200</v>
      </c>
      <c r="AA863" s="11" t="n">
        <f aca="false">MAX(P863-Z863,0)</f>
        <v>404800</v>
      </c>
      <c r="AB863" s="11" t="n">
        <f aca="false">SUMPRODUCT((AA863&gt;'Tax Tables'!$A$5:$A$17)*(AA863-'Tax Tables'!$A$5:$A$17)*'Tax Tables'!$C$5:$C$17)</f>
        <v>63206</v>
      </c>
      <c r="AC863" s="11" t="n">
        <f aca="false">IF(W863&lt;0,-1E+099,P863-T863-AB863+Y863+(T863+U863)*Calculator!$B$9)</f>
        <v>-1E+099</v>
      </c>
    </row>
    <row r="864" customFormat="false" ht="15" hidden="false" customHeight="false" outlineLevel="0" collapsed="false">
      <c r="A864" s="11" t="n">
        <f aca="false">851*$B$3</f>
        <v>425500</v>
      </c>
      <c r="B864" s="11" t="n">
        <f aca="false">0</f>
        <v>0</v>
      </c>
      <c r="C864" s="11" t="n">
        <f aca="false">A864-B864</f>
        <v>425500</v>
      </c>
      <c r="D864" s="11" t="n">
        <f aca="false">IF(Calculator!$B$6="Yes",MIN(B864,'Tax Tables'!$B$31*'Tax Tables'!$B$32),0)</f>
        <v>0</v>
      </c>
      <c r="E864" s="11" t="n">
        <f aca="false">D864*Calculator!$B$7</f>
        <v>0</v>
      </c>
      <c r="F864" s="11" t="n">
        <f aca="false">D864*Calculator!$B$8</f>
        <v>0</v>
      </c>
      <c r="G864" s="11" t="n">
        <f aca="false">IF(B864&gt;0,'Tax Tables'!$B$32*MIN(MAX(B864/'Tax Tables'!$B$32*'Tax Tables'!$B$33,'Tax Tables'!$B$34),'Tax Tables'!$B$35),0)</f>
        <v>0</v>
      </c>
      <c r="H864" s="11" t="n">
        <f aca="false">Calculator!$B$5-A864-F864-G864</f>
        <v>-25500</v>
      </c>
      <c r="I864" s="11" t="n">
        <f aca="false">'Tax Tables'!$B$22*(MAX(H864,0)-IF(Calculator!$B$10="Yes",MIN(MAX(H864,0),'Tax Tables'!$B$27)*'Tax Tables'!$B$28+MIN(MAX(MAX(H864,0)-'Tax Tables'!$B$27,0),'Tax Tables'!$B$29)*'Tax Tables'!$B$30,MIN(MAX(H864,0),'Tax Tables'!$B$23)*'Tax Tables'!$B$24+MIN(MAX(MAX(H864,0)-'Tax Tables'!$B$23,0),'Tax Tables'!$B$25)*'Tax Tables'!$B$26))*1-MIN('Tax Tables'!$B$22*(MAX(H864,0)-IF(Calculator!$B$10="Yes",MIN(MAX(H864,0),'Tax Tables'!$B$27)*'Tax Tables'!$B$28+MIN(MAX(MAX(H864,0)-'Tax Tables'!$B$27,0),'Tax Tables'!$B$29)*'Tax Tables'!$B$30,MIN(MAX(H864,0),'Tax Tables'!$B$23)*'Tax Tables'!$B$24+MIN(MAX(MAX(H864,0)-'Tax Tables'!$B$23,0),'Tax Tables'!$B$25)*'Tax Tables'!$B$26))*Calculator!$B$11,Calculator!$B$12)</f>
        <v>0</v>
      </c>
      <c r="J864" s="11" t="n">
        <f aca="false">MAX(H864,0)-I864</f>
        <v>0</v>
      </c>
      <c r="K864" s="11" t="n">
        <f aca="false">MIN(IF(A864&gt;0,Calculator!$B$13,0)+E864+Calculator!$B$14,'Tax Tables'!$B$36)</f>
        <v>1000</v>
      </c>
      <c r="L864" s="11" t="n">
        <f aca="false">MAX(A864-K864,0)</f>
        <v>424500</v>
      </c>
      <c r="M864" s="11" t="n">
        <f aca="false">SUMPRODUCT((L864&gt;'Tax Tables'!$A$5:$A$17)*(L864-'Tax Tables'!$A$5:$A$17)*'Tax Tables'!$C$5:$C$17)</f>
        <v>67540</v>
      </c>
      <c r="N864" s="11" t="n">
        <f aca="false">IF(H864&lt;0,-1E+099,A864-E864-M864+J864+(E864+F864)*Calculator!$B$9)</f>
        <v>-1E+099</v>
      </c>
      <c r="O864" s="2"/>
      <c r="P864" s="11" t="n">
        <f aca="false">851*$B$3</f>
        <v>425500</v>
      </c>
      <c r="Q864" s="11" t="n">
        <f aca="false">MIN(P864,'Tax Tables'!$B$31*'Tax Tables'!$B$32)</f>
        <v>96000</v>
      </c>
      <c r="R864" s="11" t="n">
        <f aca="false">P864-Q864</f>
        <v>329500</v>
      </c>
      <c r="S864" s="11" t="n">
        <f aca="false">IF(Calculator!$B$6="Yes",MIN(Q864,'Tax Tables'!$B$31*'Tax Tables'!$B$32),0)</f>
        <v>96000</v>
      </c>
      <c r="T864" s="11" t="n">
        <f aca="false">S864*Calculator!$B$7</f>
        <v>19200</v>
      </c>
      <c r="U864" s="11" t="n">
        <f aca="false">S864*Calculator!$B$8</f>
        <v>16320</v>
      </c>
      <c r="V864" s="11" t="n">
        <f aca="false">IF(Q864&gt;0,'Tax Tables'!$B$32*MIN(MAX(Q864/'Tax Tables'!$B$32*'Tax Tables'!$B$33,'Tax Tables'!$B$34),'Tax Tables'!$B$35),0)</f>
        <v>135</v>
      </c>
      <c r="W864" s="11" t="n">
        <f aca="false">Calculator!$B$5-P864-U864-V864</f>
        <v>-41955</v>
      </c>
      <c r="X864" s="11" t="n">
        <f aca="false">'Tax Tables'!$B$22*(MAX(W864,0)-IF(Calculator!$B$10="Yes",MIN(MAX(W864,0),'Tax Tables'!$B$27)*'Tax Tables'!$B$28+MIN(MAX(MAX(W864,0)-'Tax Tables'!$B$27,0),'Tax Tables'!$B$29)*'Tax Tables'!$B$30,MIN(MAX(W864,0),'Tax Tables'!$B$23)*'Tax Tables'!$B$24+MIN(MAX(MAX(W864,0)-'Tax Tables'!$B$23,0),'Tax Tables'!$B$25)*'Tax Tables'!$B$26))*1-MIN('Tax Tables'!$B$22*(MAX(W864,0)-IF(Calculator!$B$10="Yes",MIN(MAX(W864,0),'Tax Tables'!$B$27)*'Tax Tables'!$B$28+MIN(MAX(MAX(W864,0)-'Tax Tables'!$B$27,0),'Tax Tables'!$B$29)*'Tax Tables'!$B$30,MIN(MAX(W864,0),'Tax Tables'!$B$23)*'Tax Tables'!$B$24+MIN(MAX(MAX(W864,0)-'Tax Tables'!$B$23,0),'Tax Tables'!$B$25)*'Tax Tables'!$B$26))*Calculator!$B$11,Calculator!$B$12)</f>
        <v>0</v>
      </c>
      <c r="Y864" s="11" t="n">
        <f aca="false">MAX(W864,0)-X864</f>
        <v>0</v>
      </c>
      <c r="Z864" s="11" t="n">
        <f aca="false">MIN(IF(P864&gt;0,Calculator!$B$13,0)+T864+Calculator!$B$14,'Tax Tables'!$B$36)</f>
        <v>20200</v>
      </c>
      <c r="AA864" s="11" t="n">
        <f aca="false">MAX(P864-Z864,0)</f>
        <v>405300</v>
      </c>
      <c r="AB864" s="11" t="n">
        <f aca="false">SUMPRODUCT((AA864&gt;'Tax Tables'!$A$5:$A$17)*(AA864-'Tax Tables'!$A$5:$A$17)*'Tax Tables'!$C$5:$C$17)</f>
        <v>63316</v>
      </c>
      <c r="AC864" s="11" t="n">
        <f aca="false">IF(W864&lt;0,-1E+099,P864-T864-AB864+Y864+(T864+U864)*Calculator!$B$9)</f>
        <v>-1E+099</v>
      </c>
    </row>
    <row r="865" customFormat="false" ht="15" hidden="false" customHeight="false" outlineLevel="0" collapsed="false">
      <c r="A865" s="11" t="n">
        <f aca="false">852*$B$3</f>
        <v>426000</v>
      </c>
      <c r="B865" s="11" t="n">
        <f aca="false">0</f>
        <v>0</v>
      </c>
      <c r="C865" s="11" t="n">
        <f aca="false">A865-B865</f>
        <v>426000</v>
      </c>
      <c r="D865" s="11" t="n">
        <f aca="false">IF(Calculator!$B$6="Yes",MIN(B865,'Tax Tables'!$B$31*'Tax Tables'!$B$32),0)</f>
        <v>0</v>
      </c>
      <c r="E865" s="11" t="n">
        <f aca="false">D865*Calculator!$B$7</f>
        <v>0</v>
      </c>
      <c r="F865" s="11" t="n">
        <f aca="false">D865*Calculator!$B$8</f>
        <v>0</v>
      </c>
      <c r="G865" s="11" t="n">
        <f aca="false">IF(B865&gt;0,'Tax Tables'!$B$32*MIN(MAX(B865/'Tax Tables'!$B$32*'Tax Tables'!$B$33,'Tax Tables'!$B$34),'Tax Tables'!$B$35),0)</f>
        <v>0</v>
      </c>
      <c r="H865" s="11" t="n">
        <f aca="false">Calculator!$B$5-A865-F865-G865</f>
        <v>-26000</v>
      </c>
      <c r="I865" s="11" t="n">
        <f aca="false">'Tax Tables'!$B$22*(MAX(H865,0)-IF(Calculator!$B$10="Yes",MIN(MAX(H865,0),'Tax Tables'!$B$27)*'Tax Tables'!$B$28+MIN(MAX(MAX(H865,0)-'Tax Tables'!$B$27,0),'Tax Tables'!$B$29)*'Tax Tables'!$B$30,MIN(MAX(H865,0),'Tax Tables'!$B$23)*'Tax Tables'!$B$24+MIN(MAX(MAX(H865,0)-'Tax Tables'!$B$23,0),'Tax Tables'!$B$25)*'Tax Tables'!$B$26))*1-MIN('Tax Tables'!$B$22*(MAX(H865,0)-IF(Calculator!$B$10="Yes",MIN(MAX(H865,0),'Tax Tables'!$B$27)*'Tax Tables'!$B$28+MIN(MAX(MAX(H865,0)-'Tax Tables'!$B$27,0),'Tax Tables'!$B$29)*'Tax Tables'!$B$30,MIN(MAX(H865,0),'Tax Tables'!$B$23)*'Tax Tables'!$B$24+MIN(MAX(MAX(H865,0)-'Tax Tables'!$B$23,0),'Tax Tables'!$B$25)*'Tax Tables'!$B$26))*Calculator!$B$11,Calculator!$B$12)</f>
        <v>0</v>
      </c>
      <c r="J865" s="11" t="n">
        <f aca="false">MAX(H865,0)-I865</f>
        <v>0</v>
      </c>
      <c r="K865" s="11" t="n">
        <f aca="false">MIN(IF(A865&gt;0,Calculator!$B$13,0)+E865+Calculator!$B$14,'Tax Tables'!$B$36)</f>
        <v>1000</v>
      </c>
      <c r="L865" s="11" t="n">
        <f aca="false">MAX(A865-K865,0)</f>
        <v>425000</v>
      </c>
      <c r="M865" s="11" t="n">
        <f aca="false">SUMPRODUCT((L865&gt;'Tax Tables'!$A$5:$A$17)*(L865-'Tax Tables'!$A$5:$A$17)*'Tax Tables'!$C$5:$C$17)</f>
        <v>67650</v>
      </c>
      <c r="N865" s="11" t="n">
        <f aca="false">IF(H865&lt;0,-1E+099,A865-E865-M865+J865+(E865+F865)*Calculator!$B$9)</f>
        <v>-1E+099</v>
      </c>
      <c r="O865" s="2"/>
      <c r="P865" s="11" t="n">
        <f aca="false">852*$B$3</f>
        <v>426000</v>
      </c>
      <c r="Q865" s="11" t="n">
        <f aca="false">MIN(P865,'Tax Tables'!$B$31*'Tax Tables'!$B$32)</f>
        <v>96000</v>
      </c>
      <c r="R865" s="11" t="n">
        <f aca="false">P865-Q865</f>
        <v>330000</v>
      </c>
      <c r="S865" s="11" t="n">
        <f aca="false">IF(Calculator!$B$6="Yes",MIN(Q865,'Tax Tables'!$B$31*'Tax Tables'!$B$32),0)</f>
        <v>96000</v>
      </c>
      <c r="T865" s="11" t="n">
        <f aca="false">S865*Calculator!$B$7</f>
        <v>19200</v>
      </c>
      <c r="U865" s="11" t="n">
        <f aca="false">S865*Calculator!$B$8</f>
        <v>16320</v>
      </c>
      <c r="V865" s="11" t="n">
        <f aca="false">IF(Q865&gt;0,'Tax Tables'!$B$32*MIN(MAX(Q865/'Tax Tables'!$B$32*'Tax Tables'!$B$33,'Tax Tables'!$B$34),'Tax Tables'!$B$35),0)</f>
        <v>135</v>
      </c>
      <c r="W865" s="11" t="n">
        <f aca="false">Calculator!$B$5-P865-U865-V865</f>
        <v>-42455</v>
      </c>
      <c r="X865" s="11" t="n">
        <f aca="false">'Tax Tables'!$B$22*(MAX(W865,0)-IF(Calculator!$B$10="Yes",MIN(MAX(W865,0),'Tax Tables'!$B$27)*'Tax Tables'!$B$28+MIN(MAX(MAX(W865,0)-'Tax Tables'!$B$27,0),'Tax Tables'!$B$29)*'Tax Tables'!$B$30,MIN(MAX(W865,0),'Tax Tables'!$B$23)*'Tax Tables'!$B$24+MIN(MAX(MAX(W865,0)-'Tax Tables'!$B$23,0),'Tax Tables'!$B$25)*'Tax Tables'!$B$26))*1-MIN('Tax Tables'!$B$22*(MAX(W865,0)-IF(Calculator!$B$10="Yes",MIN(MAX(W865,0),'Tax Tables'!$B$27)*'Tax Tables'!$B$28+MIN(MAX(MAX(W865,0)-'Tax Tables'!$B$27,0),'Tax Tables'!$B$29)*'Tax Tables'!$B$30,MIN(MAX(W865,0),'Tax Tables'!$B$23)*'Tax Tables'!$B$24+MIN(MAX(MAX(W865,0)-'Tax Tables'!$B$23,0),'Tax Tables'!$B$25)*'Tax Tables'!$B$26))*Calculator!$B$11,Calculator!$B$12)</f>
        <v>0</v>
      </c>
      <c r="Y865" s="11" t="n">
        <f aca="false">MAX(W865,0)-X865</f>
        <v>0</v>
      </c>
      <c r="Z865" s="11" t="n">
        <f aca="false">MIN(IF(P865&gt;0,Calculator!$B$13,0)+T865+Calculator!$B$14,'Tax Tables'!$B$36)</f>
        <v>20200</v>
      </c>
      <c r="AA865" s="11" t="n">
        <f aca="false">MAX(P865-Z865,0)</f>
        <v>405800</v>
      </c>
      <c r="AB865" s="11" t="n">
        <f aca="false">SUMPRODUCT((AA865&gt;'Tax Tables'!$A$5:$A$17)*(AA865-'Tax Tables'!$A$5:$A$17)*'Tax Tables'!$C$5:$C$17)</f>
        <v>63426</v>
      </c>
      <c r="AC865" s="11" t="n">
        <f aca="false">IF(W865&lt;0,-1E+099,P865-T865-AB865+Y865+(T865+U865)*Calculator!$B$9)</f>
        <v>-1E+099</v>
      </c>
    </row>
    <row r="866" customFormat="false" ht="15" hidden="false" customHeight="false" outlineLevel="0" collapsed="false">
      <c r="A866" s="11" t="n">
        <f aca="false">853*$B$3</f>
        <v>426500</v>
      </c>
      <c r="B866" s="11" t="n">
        <f aca="false">0</f>
        <v>0</v>
      </c>
      <c r="C866" s="11" t="n">
        <f aca="false">A866-B866</f>
        <v>426500</v>
      </c>
      <c r="D866" s="11" t="n">
        <f aca="false">IF(Calculator!$B$6="Yes",MIN(B866,'Tax Tables'!$B$31*'Tax Tables'!$B$32),0)</f>
        <v>0</v>
      </c>
      <c r="E866" s="11" t="n">
        <f aca="false">D866*Calculator!$B$7</f>
        <v>0</v>
      </c>
      <c r="F866" s="11" t="n">
        <f aca="false">D866*Calculator!$B$8</f>
        <v>0</v>
      </c>
      <c r="G866" s="11" t="n">
        <f aca="false">IF(B866&gt;0,'Tax Tables'!$B$32*MIN(MAX(B866/'Tax Tables'!$B$32*'Tax Tables'!$B$33,'Tax Tables'!$B$34),'Tax Tables'!$B$35),0)</f>
        <v>0</v>
      </c>
      <c r="H866" s="11" t="n">
        <f aca="false">Calculator!$B$5-A866-F866-G866</f>
        <v>-26500</v>
      </c>
      <c r="I866" s="11" t="n">
        <f aca="false">'Tax Tables'!$B$22*(MAX(H866,0)-IF(Calculator!$B$10="Yes",MIN(MAX(H866,0),'Tax Tables'!$B$27)*'Tax Tables'!$B$28+MIN(MAX(MAX(H866,0)-'Tax Tables'!$B$27,0),'Tax Tables'!$B$29)*'Tax Tables'!$B$30,MIN(MAX(H866,0),'Tax Tables'!$B$23)*'Tax Tables'!$B$24+MIN(MAX(MAX(H866,0)-'Tax Tables'!$B$23,0),'Tax Tables'!$B$25)*'Tax Tables'!$B$26))*1-MIN('Tax Tables'!$B$22*(MAX(H866,0)-IF(Calculator!$B$10="Yes",MIN(MAX(H866,0),'Tax Tables'!$B$27)*'Tax Tables'!$B$28+MIN(MAX(MAX(H866,0)-'Tax Tables'!$B$27,0),'Tax Tables'!$B$29)*'Tax Tables'!$B$30,MIN(MAX(H866,0),'Tax Tables'!$B$23)*'Tax Tables'!$B$24+MIN(MAX(MAX(H866,0)-'Tax Tables'!$B$23,0),'Tax Tables'!$B$25)*'Tax Tables'!$B$26))*Calculator!$B$11,Calculator!$B$12)</f>
        <v>0</v>
      </c>
      <c r="J866" s="11" t="n">
        <f aca="false">MAX(H866,0)-I866</f>
        <v>0</v>
      </c>
      <c r="K866" s="11" t="n">
        <f aca="false">MIN(IF(A866&gt;0,Calculator!$B$13,0)+E866+Calculator!$B$14,'Tax Tables'!$B$36)</f>
        <v>1000</v>
      </c>
      <c r="L866" s="11" t="n">
        <f aca="false">MAX(A866-K866,0)</f>
        <v>425500</v>
      </c>
      <c r="M866" s="11" t="n">
        <f aca="false">SUMPRODUCT((L866&gt;'Tax Tables'!$A$5:$A$17)*(L866-'Tax Tables'!$A$5:$A$17)*'Tax Tables'!$C$5:$C$17)</f>
        <v>67760</v>
      </c>
      <c r="N866" s="11" t="n">
        <f aca="false">IF(H866&lt;0,-1E+099,A866-E866-M866+J866+(E866+F866)*Calculator!$B$9)</f>
        <v>-1E+099</v>
      </c>
      <c r="O866" s="2"/>
      <c r="P866" s="11" t="n">
        <f aca="false">853*$B$3</f>
        <v>426500</v>
      </c>
      <c r="Q866" s="11" t="n">
        <f aca="false">MIN(P866,'Tax Tables'!$B$31*'Tax Tables'!$B$32)</f>
        <v>96000</v>
      </c>
      <c r="R866" s="11" t="n">
        <f aca="false">P866-Q866</f>
        <v>330500</v>
      </c>
      <c r="S866" s="11" t="n">
        <f aca="false">IF(Calculator!$B$6="Yes",MIN(Q866,'Tax Tables'!$B$31*'Tax Tables'!$B$32),0)</f>
        <v>96000</v>
      </c>
      <c r="T866" s="11" t="n">
        <f aca="false">S866*Calculator!$B$7</f>
        <v>19200</v>
      </c>
      <c r="U866" s="11" t="n">
        <f aca="false">S866*Calculator!$B$8</f>
        <v>16320</v>
      </c>
      <c r="V866" s="11" t="n">
        <f aca="false">IF(Q866&gt;0,'Tax Tables'!$B$32*MIN(MAX(Q866/'Tax Tables'!$B$32*'Tax Tables'!$B$33,'Tax Tables'!$B$34),'Tax Tables'!$B$35),0)</f>
        <v>135</v>
      </c>
      <c r="W866" s="11" t="n">
        <f aca="false">Calculator!$B$5-P866-U866-V866</f>
        <v>-42955</v>
      </c>
      <c r="X866" s="11" t="n">
        <f aca="false">'Tax Tables'!$B$22*(MAX(W866,0)-IF(Calculator!$B$10="Yes",MIN(MAX(W866,0),'Tax Tables'!$B$27)*'Tax Tables'!$B$28+MIN(MAX(MAX(W866,0)-'Tax Tables'!$B$27,0),'Tax Tables'!$B$29)*'Tax Tables'!$B$30,MIN(MAX(W866,0),'Tax Tables'!$B$23)*'Tax Tables'!$B$24+MIN(MAX(MAX(W866,0)-'Tax Tables'!$B$23,0),'Tax Tables'!$B$25)*'Tax Tables'!$B$26))*1-MIN('Tax Tables'!$B$22*(MAX(W866,0)-IF(Calculator!$B$10="Yes",MIN(MAX(W866,0),'Tax Tables'!$B$27)*'Tax Tables'!$B$28+MIN(MAX(MAX(W866,0)-'Tax Tables'!$B$27,0),'Tax Tables'!$B$29)*'Tax Tables'!$B$30,MIN(MAX(W866,0),'Tax Tables'!$B$23)*'Tax Tables'!$B$24+MIN(MAX(MAX(W866,0)-'Tax Tables'!$B$23,0),'Tax Tables'!$B$25)*'Tax Tables'!$B$26))*Calculator!$B$11,Calculator!$B$12)</f>
        <v>0</v>
      </c>
      <c r="Y866" s="11" t="n">
        <f aca="false">MAX(W866,0)-X866</f>
        <v>0</v>
      </c>
      <c r="Z866" s="11" t="n">
        <f aca="false">MIN(IF(P866&gt;0,Calculator!$B$13,0)+T866+Calculator!$B$14,'Tax Tables'!$B$36)</f>
        <v>20200</v>
      </c>
      <c r="AA866" s="11" t="n">
        <f aca="false">MAX(P866-Z866,0)</f>
        <v>406300</v>
      </c>
      <c r="AB866" s="11" t="n">
        <f aca="false">SUMPRODUCT((AA866&gt;'Tax Tables'!$A$5:$A$17)*(AA866-'Tax Tables'!$A$5:$A$17)*'Tax Tables'!$C$5:$C$17)</f>
        <v>63536</v>
      </c>
      <c r="AC866" s="11" t="n">
        <f aca="false">IF(W866&lt;0,-1E+099,P866-T866-AB866+Y866+(T866+U866)*Calculator!$B$9)</f>
        <v>-1E+099</v>
      </c>
    </row>
    <row r="867" customFormat="false" ht="15" hidden="false" customHeight="false" outlineLevel="0" collapsed="false">
      <c r="A867" s="11" t="n">
        <f aca="false">854*$B$3</f>
        <v>427000</v>
      </c>
      <c r="B867" s="11" t="n">
        <f aca="false">0</f>
        <v>0</v>
      </c>
      <c r="C867" s="11" t="n">
        <f aca="false">A867-B867</f>
        <v>427000</v>
      </c>
      <c r="D867" s="11" t="n">
        <f aca="false">IF(Calculator!$B$6="Yes",MIN(B867,'Tax Tables'!$B$31*'Tax Tables'!$B$32),0)</f>
        <v>0</v>
      </c>
      <c r="E867" s="11" t="n">
        <f aca="false">D867*Calculator!$B$7</f>
        <v>0</v>
      </c>
      <c r="F867" s="11" t="n">
        <f aca="false">D867*Calculator!$B$8</f>
        <v>0</v>
      </c>
      <c r="G867" s="11" t="n">
        <f aca="false">IF(B867&gt;0,'Tax Tables'!$B$32*MIN(MAX(B867/'Tax Tables'!$B$32*'Tax Tables'!$B$33,'Tax Tables'!$B$34),'Tax Tables'!$B$35),0)</f>
        <v>0</v>
      </c>
      <c r="H867" s="11" t="n">
        <f aca="false">Calculator!$B$5-A867-F867-G867</f>
        <v>-27000</v>
      </c>
      <c r="I867" s="11" t="n">
        <f aca="false">'Tax Tables'!$B$22*(MAX(H867,0)-IF(Calculator!$B$10="Yes",MIN(MAX(H867,0),'Tax Tables'!$B$27)*'Tax Tables'!$B$28+MIN(MAX(MAX(H867,0)-'Tax Tables'!$B$27,0),'Tax Tables'!$B$29)*'Tax Tables'!$B$30,MIN(MAX(H867,0),'Tax Tables'!$B$23)*'Tax Tables'!$B$24+MIN(MAX(MAX(H867,0)-'Tax Tables'!$B$23,0),'Tax Tables'!$B$25)*'Tax Tables'!$B$26))*1-MIN('Tax Tables'!$B$22*(MAX(H867,0)-IF(Calculator!$B$10="Yes",MIN(MAX(H867,0),'Tax Tables'!$B$27)*'Tax Tables'!$B$28+MIN(MAX(MAX(H867,0)-'Tax Tables'!$B$27,0),'Tax Tables'!$B$29)*'Tax Tables'!$B$30,MIN(MAX(H867,0),'Tax Tables'!$B$23)*'Tax Tables'!$B$24+MIN(MAX(MAX(H867,0)-'Tax Tables'!$B$23,0),'Tax Tables'!$B$25)*'Tax Tables'!$B$26))*Calculator!$B$11,Calculator!$B$12)</f>
        <v>0</v>
      </c>
      <c r="J867" s="11" t="n">
        <f aca="false">MAX(H867,0)-I867</f>
        <v>0</v>
      </c>
      <c r="K867" s="11" t="n">
        <f aca="false">MIN(IF(A867&gt;0,Calculator!$B$13,0)+E867+Calculator!$B$14,'Tax Tables'!$B$36)</f>
        <v>1000</v>
      </c>
      <c r="L867" s="11" t="n">
        <f aca="false">MAX(A867-K867,0)</f>
        <v>426000</v>
      </c>
      <c r="M867" s="11" t="n">
        <f aca="false">SUMPRODUCT((L867&gt;'Tax Tables'!$A$5:$A$17)*(L867-'Tax Tables'!$A$5:$A$17)*'Tax Tables'!$C$5:$C$17)</f>
        <v>67870</v>
      </c>
      <c r="N867" s="11" t="n">
        <f aca="false">IF(H867&lt;0,-1E+099,A867-E867-M867+J867+(E867+F867)*Calculator!$B$9)</f>
        <v>-1E+099</v>
      </c>
      <c r="O867" s="2"/>
      <c r="P867" s="11" t="n">
        <f aca="false">854*$B$3</f>
        <v>427000</v>
      </c>
      <c r="Q867" s="11" t="n">
        <f aca="false">MIN(P867,'Tax Tables'!$B$31*'Tax Tables'!$B$32)</f>
        <v>96000</v>
      </c>
      <c r="R867" s="11" t="n">
        <f aca="false">P867-Q867</f>
        <v>331000</v>
      </c>
      <c r="S867" s="11" t="n">
        <f aca="false">IF(Calculator!$B$6="Yes",MIN(Q867,'Tax Tables'!$B$31*'Tax Tables'!$B$32),0)</f>
        <v>96000</v>
      </c>
      <c r="T867" s="11" t="n">
        <f aca="false">S867*Calculator!$B$7</f>
        <v>19200</v>
      </c>
      <c r="U867" s="11" t="n">
        <f aca="false">S867*Calculator!$B$8</f>
        <v>16320</v>
      </c>
      <c r="V867" s="11" t="n">
        <f aca="false">IF(Q867&gt;0,'Tax Tables'!$B$32*MIN(MAX(Q867/'Tax Tables'!$B$32*'Tax Tables'!$B$33,'Tax Tables'!$B$34),'Tax Tables'!$B$35),0)</f>
        <v>135</v>
      </c>
      <c r="W867" s="11" t="n">
        <f aca="false">Calculator!$B$5-P867-U867-V867</f>
        <v>-43455</v>
      </c>
      <c r="X867" s="11" t="n">
        <f aca="false">'Tax Tables'!$B$22*(MAX(W867,0)-IF(Calculator!$B$10="Yes",MIN(MAX(W867,0),'Tax Tables'!$B$27)*'Tax Tables'!$B$28+MIN(MAX(MAX(W867,0)-'Tax Tables'!$B$27,0),'Tax Tables'!$B$29)*'Tax Tables'!$B$30,MIN(MAX(W867,0),'Tax Tables'!$B$23)*'Tax Tables'!$B$24+MIN(MAX(MAX(W867,0)-'Tax Tables'!$B$23,0),'Tax Tables'!$B$25)*'Tax Tables'!$B$26))*1-MIN('Tax Tables'!$B$22*(MAX(W867,0)-IF(Calculator!$B$10="Yes",MIN(MAX(W867,0),'Tax Tables'!$B$27)*'Tax Tables'!$B$28+MIN(MAX(MAX(W867,0)-'Tax Tables'!$B$27,0),'Tax Tables'!$B$29)*'Tax Tables'!$B$30,MIN(MAX(W867,0),'Tax Tables'!$B$23)*'Tax Tables'!$B$24+MIN(MAX(MAX(W867,0)-'Tax Tables'!$B$23,0),'Tax Tables'!$B$25)*'Tax Tables'!$B$26))*Calculator!$B$11,Calculator!$B$12)</f>
        <v>0</v>
      </c>
      <c r="Y867" s="11" t="n">
        <f aca="false">MAX(W867,0)-X867</f>
        <v>0</v>
      </c>
      <c r="Z867" s="11" t="n">
        <f aca="false">MIN(IF(P867&gt;0,Calculator!$B$13,0)+T867+Calculator!$B$14,'Tax Tables'!$B$36)</f>
        <v>20200</v>
      </c>
      <c r="AA867" s="11" t="n">
        <f aca="false">MAX(P867-Z867,0)</f>
        <v>406800</v>
      </c>
      <c r="AB867" s="11" t="n">
        <f aca="false">SUMPRODUCT((AA867&gt;'Tax Tables'!$A$5:$A$17)*(AA867-'Tax Tables'!$A$5:$A$17)*'Tax Tables'!$C$5:$C$17)</f>
        <v>63646</v>
      </c>
      <c r="AC867" s="11" t="n">
        <f aca="false">IF(W867&lt;0,-1E+099,P867-T867-AB867+Y867+(T867+U867)*Calculator!$B$9)</f>
        <v>-1E+099</v>
      </c>
    </row>
    <row r="868" customFormat="false" ht="15" hidden="false" customHeight="false" outlineLevel="0" collapsed="false">
      <c r="A868" s="11" t="n">
        <f aca="false">855*$B$3</f>
        <v>427500</v>
      </c>
      <c r="B868" s="11" t="n">
        <f aca="false">0</f>
        <v>0</v>
      </c>
      <c r="C868" s="11" t="n">
        <f aca="false">A868-B868</f>
        <v>427500</v>
      </c>
      <c r="D868" s="11" t="n">
        <f aca="false">IF(Calculator!$B$6="Yes",MIN(B868,'Tax Tables'!$B$31*'Tax Tables'!$B$32),0)</f>
        <v>0</v>
      </c>
      <c r="E868" s="11" t="n">
        <f aca="false">D868*Calculator!$B$7</f>
        <v>0</v>
      </c>
      <c r="F868" s="11" t="n">
        <f aca="false">D868*Calculator!$B$8</f>
        <v>0</v>
      </c>
      <c r="G868" s="11" t="n">
        <f aca="false">IF(B868&gt;0,'Tax Tables'!$B$32*MIN(MAX(B868/'Tax Tables'!$B$32*'Tax Tables'!$B$33,'Tax Tables'!$B$34),'Tax Tables'!$B$35),0)</f>
        <v>0</v>
      </c>
      <c r="H868" s="11" t="n">
        <f aca="false">Calculator!$B$5-A868-F868-G868</f>
        <v>-27500</v>
      </c>
      <c r="I868" s="11" t="n">
        <f aca="false">'Tax Tables'!$B$22*(MAX(H868,0)-IF(Calculator!$B$10="Yes",MIN(MAX(H868,0),'Tax Tables'!$B$27)*'Tax Tables'!$B$28+MIN(MAX(MAX(H868,0)-'Tax Tables'!$B$27,0),'Tax Tables'!$B$29)*'Tax Tables'!$B$30,MIN(MAX(H868,0),'Tax Tables'!$B$23)*'Tax Tables'!$B$24+MIN(MAX(MAX(H868,0)-'Tax Tables'!$B$23,0),'Tax Tables'!$B$25)*'Tax Tables'!$B$26))*1-MIN('Tax Tables'!$B$22*(MAX(H868,0)-IF(Calculator!$B$10="Yes",MIN(MAX(H868,0),'Tax Tables'!$B$27)*'Tax Tables'!$B$28+MIN(MAX(MAX(H868,0)-'Tax Tables'!$B$27,0),'Tax Tables'!$B$29)*'Tax Tables'!$B$30,MIN(MAX(H868,0),'Tax Tables'!$B$23)*'Tax Tables'!$B$24+MIN(MAX(MAX(H868,0)-'Tax Tables'!$B$23,0),'Tax Tables'!$B$25)*'Tax Tables'!$B$26))*Calculator!$B$11,Calculator!$B$12)</f>
        <v>0</v>
      </c>
      <c r="J868" s="11" t="n">
        <f aca="false">MAX(H868,0)-I868</f>
        <v>0</v>
      </c>
      <c r="K868" s="11" t="n">
        <f aca="false">MIN(IF(A868&gt;0,Calculator!$B$13,0)+E868+Calculator!$B$14,'Tax Tables'!$B$36)</f>
        <v>1000</v>
      </c>
      <c r="L868" s="11" t="n">
        <f aca="false">MAX(A868-K868,0)</f>
        <v>426500</v>
      </c>
      <c r="M868" s="11" t="n">
        <f aca="false">SUMPRODUCT((L868&gt;'Tax Tables'!$A$5:$A$17)*(L868-'Tax Tables'!$A$5:$A$17)*'Tax Tables'!$C$5:$C$17)</f>
        <v>67980</v>
      </c>
      <c r="N868" s="11" t="n">
        <f aca="false">IF(H868&lt;0,-1E+099,A868-E868-M868+J868+(E868+F868)*Calculator!$B$9)</f>
        <v>-1E+099</v>
      </c>
      <c r="O868" s="2"/>
      <c r="P868" s="11" t="n">
        <f aca="false">855*$B$3</f>
        <v>427500</v>
      </c>
      <c r="Q868" s="11" t="n">
        <f aca="false">MIN(P868,'Tax Tables'!$B$31*'Tax Tables'!$B$32)</f>
        <v>96000</v>
      </c>
      <c r="R868" s="11" t="n">
        <f aca="false">P868-Q868</f>
        <v>331500</v>
      </c>
      <c r="S868" s="11" t="n">
        <f aca="false">IF(Calculator!$B$6="Yes",MIN(Q868,'Tax Tables'!$B$31*'Tax Tables'!$B$32),0)</f>
        <v>96000</v>
      </c>
      <c r="T868" s="11" t="n">
        <f aca="false">S868*Calculator!$B$7</f>
        <v>19200</v>
      </c>
      <c r="U868" s="11" t="n">
        <f aca="false">S868*Calculator!$B$8</f>
        <v>16320</v>
      </c>
      <c r="V868" s="11" t="n">
        <f aca="false">IF(Q868&gt;0,'Tax Tables'!$B$32*MIN(MAX(Q868/'Tax Tables'!$B$32*'Tax Tables'!$B$33,'Tax Tables'!$B$34),'Tax Tables'!$B$35),0)</f>
        <v>135</v>
      </c>
      <c r="W868" s="11" t="n">
        <f aca="false">Calculator!$B$5-P868-U868-V868</f>
        <v>-43955</v>
      </c>
      <c r="X868" s="11" t="n">
        <f aca="false">'Tax Tables'!$B$22*(MAX(W868,0)-IF(Calculator!$B$10="Yes",MIN(MAX(W868,0),'Tax Tables'!$B$27)*'Tax Tables'!$B$28+MIN(MAX(MAX(W868,0)-'Tax Tables'!$B$27,0),'Tax Tables'!$B$29)*'Tax Tables'!$B$30,MIN(MAX(W868,0),'Tax Tables'!$B$23)*'Tax Tables'!$B$24+MIN(MAX(MAX(W868,0)-'Tax Tables'!$B$23,0),'Tax Tables'!$B$25)*'Tax Tables'!$B$26))*1-MIN('Tax Tables'!$B$22*(MAX(W868,0)-IF(Calculator!$B$10="Yes",MIN(MAX(W868,0),'Tax Tables'!$B$27)*'Tax Tables'!$B$28+MIN(MAX(MAX(W868,0)-'Tax Tables'!$B$27,0),'Tax Tables'!$B$29)*'Tax Tables'!$B$30,MIN(MAX(W868,0),'Tax Tables'!$B$23)*'Tax Tables'!$B$24+MIN(MAX(MAX(W868,0)-'Tax Tables'!$B$23,0),'Tax Tables'!$B$25)*'Tax Tables'!$B$26))*Calculator!$B$11,Calculator!$B$12)</f>
        <v>0</v>
      </c>
      <c r="Y868" s="11" t="n">
        <f aca="false">MAX(W868,0)-X868</f>
        <v>0</v>
      </c>
      <c r="Z868" s="11" t="n">
        <f aca="false">MIN(IF(P868&gt;0,Calculator!$B$13,0)+T868+Calculator!$B$14,'Tax Tables'!$B$36)</f>
        <v>20200</v>
      </c>
      <c r="AA868" s="11" t="n">
        <f aca="false">MAX(P868-Z868,0)</f>
        <v>407300</v>
      </c>
      <c r="AB868" s="11" t="n">
        <f aca="false">SUMPRODUCT((AA868&gt;'Tax Tables'!$A$5:$A$17)*(AA868-'Tax Tables'!$A$5:$A$17)*'Tax Tables'!$C$5:$C$17)</f>
        <v>63756</v>
      </c>
      <c r="AC868" s="11" t="n">
        <f aca="false">IF(W868&lt;0,-1E+099,P868-T868-AB868+Y868+(T868+U868)*Calculator!$B$9)</f>
        <v>-1E+099</v>
      </c>
    </row>
    <row r="869" customFormat="false" ht="15" hidden="false" customHeight="false" outlineLevel="0" collapsed="false">
      <c r="A869" s="11" t="n">
        <f aca="false">856*$B$3</f>
        <v>428000</v>
      </c>
      <c r="B869" s="11" t="n">
        <f aca="false">0</f>
        <v>0</v>
      </c>
      <c r="C869" s="11" t="n">
        <f aca="false">A869-B869</f>
        <v>428000</v>
      </c>
      <c r="D869" s="11" t="n">
        <f aca="false">IF(Calculator!$B$6="Yes",MIN(B869,'Tax Tables'!$B$31*'Tax Tables'!$B$32),0)</f>
        <v>0</v>
      </c>
      <c r="E869" s="11" t="n">
        <f aca="false">D869*Calculator!$B$7</f>
        <v>0</v>
      </c>
      <c r="F869" s="11" t="n">
        <f aca="false">D869*Calculator!$B$8</f>
        <v>0</v>
      </c>
      <c r="G869" s="11" t="n">
        <f aca="false">IF(B869&gt;0,'Tax Tables'!$B$32*MIN(MAX(B869/'Tax Tables'!$B$32*'Tax Tables'!$B$33,'Tax Tables'!$B$34),'Tax Tables'!$B$35),0)</f>
        <v>0</v>
      </c>
      <c r="H869" s="11" t="n">
        <f aca="false">Calculator!$B$5-A869-F869-G869</f>
        <v>-28000</v>
      </c>
      <c r="I869" s="11" t="n">
        <f aca="false">'Tax Tables'!$B$22*(MAX(H869,0)-IF(Calculator!$B$10="Yes",MIN(MAX(H869,0),'Tax Tables'!$B$27)*'Tax Tables'!$B$28+MIN(MAX(MAX(H869,0)-'Tax Tables'!$B$27,0),'Tax Tables'!$B$29)*'Tax Tables'!$B$30,MIN(MAX(H869,0),'Tax Tables'!$B$23)*'Tax Tables'!$B$24+MIN(MAX(MAX(H869,0)-'Tax Tables'!$B$23,0),'Tax Tables'!$B$25)*'Tax Tables'!$B$26))*1-MIN('Tax Tables'!$B$22*(MAX(H869,0)-IF(Calculator!$B$10="Yes",MIN(MAX(H869,0),'Tax Tables'!$B$27)*'Tax Tables'!$B$28+MIN(MAX(MAX(H869,0)-'Tax Tables'!$B$27,0),'Tax Tables'!$B$29)*'Tax Tables'!$B$30,MIN(MAX(H869,0),'Tax Tables'!$B$23)*'Tax Tables'!$B$24+MIN(MAX(MAX(H869,0)-'Tax Tables'!$B$23,0),'Tax Tables'!$B$25)*'Tax Tables'!$B$26))*Calculator!$B$11,Calculator!$B$12)</f>
        <v>0</v>
      </c>
      <c r="J869" s="11" t="n">
        <f aca="false">MAX(H869,0)-I869</f>
        <v>0</v>
      </c>
      <c r="K869" s="11" t="n">
        <f aca="false">MIN(IF(A869&gt;0,Calculator!$B$13,0)+E869+Calculator!$B$14,'Tax Tables'!$B$36)</f>
        <v>1000</v>
      </c>
      <c r="L869" s="11" t="n">
        <f aca="false">MAX(A869-K869,0)</f>
        <v>427000</v>
      </c>
      <c r="M869" s="11" t="n">
        <f aca="false">SUMPRODUCT((L869&gt;'Tax Tables'!$A$5:$A$17)*(L869-'Tax Tables'!$A$5:$A$17)*'Tax Tables'!$C$5:$C$17)</f>
        <v>68090</v>
      </c>
      <c r="N869" s="11" t="n">
        <f aca="false">IF(H869&lt;0,-1E+099,A869-E869-M869+J869+(E869+F869)*Calculator!$B$9)</f>
        <v>-1E+099</v>
      </c>
      <c r="O869" s="2"/>
      <c r="P869" s="11" t="n">
        <f aca="false">856*$B$3</f>
        <v>428000</v>
      </c>
      <c r="Q869" s="11" t="n">
        <f aca="false">MIN(P869,'Tax Tables'!$B$31*'Tax Tables'!$B$32)</f>
        <v>96000</v>
      </c>
      <c r="R869" s="11" t="n">
        <f aca="false">P869-Q869</f>
        <v>332000</v>
      </c>
      <c r="S869" s="11" t="n">
        <f aca="false">IF(Calculator!$B$6="Yes",MIN(Q869,'Tax Tables'!$B$31*'Tax Tables'!$B$32),0)</f>
        <v>96000</v>
      </c>
      <c r="T869" s="11" t="n">
        <f aca="false">S869*Calculator!$B$7</f>
        <v>19200</v>
      </c>
      <c r="U869" s="11" t="n">
        <f aca="false">S869*Calculator!$B$8</f>
        <v>16320</v>
      </c>
      <c r="V869" s="11" t="n">
        <f aca="false">IF(Q869&gt;0,'Tax Tables'!$B$32*MIN(MAX(Q869/'Tax Tables'!$B$32*'Tax Tables'!$B$33,'Tax Tables'!$B$34),'Tax Tables'!$B$35),0)</f>
        <v>135</v>
      </c>
      <c r="W869" s="11" t="n">
        <f aca="false">Calculator!$B$5-P869-U869-V869</f>
        <v>-44455</v>
      </c>
      <c r="X869" s="11" t="n">
        <f aca="false">'Tax Tables'!$B$22*(MAX(W869,0)-IF(Calculator!$B$10="Yes",MIN(MAX(W869,0),'Tax Tables'!$B$27)*'Tax Tables'!$B$28+MIN(MAX(MAX(W869,0)-'Tax Tables'!$B$27,0),'Tax Tables'!$B$29)*'Tax Tables'!$B$30,MIN(MAX(W869,0),'Tax Tables'!$B$23)*'Tax Tables'!$B$24+MIN(MAX(MAX(W869,0)-'Tax Tables'!$B$23,0),'Tax Tables'!$B$25)*'Tax Tables'!$B$26))*1-MIN('Tax Tables'!$B$22*(MAX(W869,0)-IF(Calculator!$B$10="Yes",MIN(MAX(W869,0),'Tax Tables'!$B$27)*'Tax Tables'!$B$28+MIN(MAX(MAX(W869,0)-'Tax Tables'!$B$27,0),'Tax Tables'!$B$29)*'Tax Tables'!$B$30,MIN(MAX(W869,0),'Tax Tables'!$B$23)*'Tax Tables'!$B$24+MIN(MAX(MAX(W869,0)-'Tax Tables'!$B$23,0),'Tax Tables'!$B$25)*'Tax Tables'!$B$26))*Calculator!$B$11,Calculator!$B$12)</f>
        <v>0</v>
      </c>
      <c r="Y869" s="11" t="n">
        <f aca="false">MAX(W869,0)-X869</f>
        <v>0</v>
      </c>
      <c r="Z869" s="11" t="n">
        <f aca="false">MIN(IF(P869&gt;0,Calculator!$B$13,0)+T869+Calculator!$B$14,'Tax Tables'!$B$36)</f>
        <v>20200</v>
      </c>
      <c r="AA869" s="11" t="n">
        <f aca="false">MAX(P869-Z869,0)</f>
        <v>407800</v>
      </c>
      <c r="AB869" s="11" t="n">
        <f aca="false">SUMPRODUCT((AA869&gt;'Tax Tables'!$A$5:$A$17)*(AA869-'Tax Tables'!$A$5:$A$17)*'Tax Tables'!$C$5:$C$17)</f>
        <v>63866</v>
      </c>
      <c r="AC869" s="11" t="n">
        <f aca="false">IF(W869&lt;0,-1E+099,P869-T869-AB869+Y869+(T869+U869)*Calculator!$B$9)</f>
        <v>-1E+099</v>
      </c>
    </row>
    <row r="870" customFormat="false" ht="15" hidden="false" customHeight="false" outlineLevel="0" collapsed="false">
      <c r="A870" s="11" t="n">
        <f aca="false">857*$B$3</f>
        <v>428500</v>
      </c>
      <c r="B870" s="11" t="n">
        <f aca="false">0</f>
        <v>0</v>
      </c>
      <c r="C870" s="11" t="n">
        <f aca="false">A870-B870</f>
        <v>428500</v>
      </c>
      <c r="D870" s="11" t="n">
        <f aca="false">IF(Calculator!$B$6="Yes",MIN(B870,'Tax Tables'!$B$31*'Tax Tables'!$B$32),0)</f>
        <v>0</v>
      </c>
      <c r="E870" s="11" t="n">
        <f aca="false">D870*Calculator!$B$7</f>
        <v>0</v>
      </c>
      <c r="F870" s="11" t="n">
        <f aca="false">D870*Calculator!$B$8</f>
        <v>0</v>
      </c>
      <c r="G870" s="11" t="n">
        <f aca="false">IF(B870&gt;0,'Tax Tables'!$B$32*MIN(MAX(B870/'Tax Tables'!$B$32*'Tax Tables'!$B$33,'Tax Tables'!$B$34),'Tax Tables'!$B$35),0)</f>
        <v>0</v>
      </c>
      <c r="H870" s="11" t="n">
        <f aca="false">Calculator!$B$5-A870-F870-G870</f>
        <v>-28500</v>
      </c>
      <c r="I870" s="11" t="n">
        <f aca="false">'Tax Tables'!$B$22*(MAX(H870,0)-IF(Calculator!$B$10="Yes",MIN(MAX(H870,0),'Tax Tables'!$B$27)*'Tax Tables'!$B$28+MIN(MAX(MAX(H870,0)-'Tax Tables'!$B$27,0),'Tax Tables'!$B$29)*'Tax Tables'!$B$30,MIN(MAX(H870,0),'Tax Tables'!$B$23)*'Tax Tables'!$B$24+MIN(MAX(MAX(H870,0)-'Tax Tables'!$B$23,0),'Tax Tables'!$B$25)*'Tax Tables'!$B$26))*1-MIN('Tax Tables'!$B$22*(MAX(H870,0)-IF(Calculator!$B$10="Yes",MIN(MAX(H870,0),'Tax Tables'!$B$27)*'Tax Tables'!$B$28+MIN(MAX(MAX(H870,0)-'Tax Tables'!$B$27,0),'Tax Tables'!$B$29)*'Tax Tables'!$B$30,MIN(MAX(H870,0),'Tax Tables'!$B$23)*'Tax Tables'!$B$24+MIN(MAX(MAX(H870,0)-'Tax Tables'!$B$23,0),'Tax Tables'!$B$25)*'Tax Tables'!$B$26))*Calculator!$B$11,Calculator!$B$12)</f>
        <v>0</v>
      </c>
      <c r="J870" s="11" t="n">
        <f aca="false">MAX(H870,0)-I870</f>
        <v>0</v>
      </c>
      <c r="K870" s="11" t="n">
        <f aca="false">MIN(IF(A870&gt;0,Calculator!$B$13,0)+E870+Calculator!$B$14,'Tax Tables'!$B$36)</f>
        <v>1000</v>
      </c>
      <c r="L870" s="11" t="n">
        <f aca="false">MAX(A870-K870,0)</f>
        <v>427500</v>
      </c>
      <c r="M870" s="11" t="n">
        <f aca="false">SUMPRODUCT((L870&gt;'Tax Tables'!$A$5:$A$17)*(L870-'Tax Tables'!$A$5:$A$17)*'Tax Tables'!$C$5:$C$17)</f>
        <v>68200</v>
      </c>
      <c r="N870" s="11" t="n">
        <f aca="false">IF(H870&lt;0,-1E+099,A870-E870-M870+J870+(E870+F870)*Calculator!$B$9)</f>
        <v>-1E+099</v>
      </c>
      <c r="O870" s="2"/>
      <c r="P870" s="11" t="n">
        <f aca="false">857*$B$3</f>
        <v>428500</v>
      </c>
      <c r="Q870" s="11" t="n">
        <f aca="false">MIN(P870,'Tax Tables'!$B$31*'Tax Tables'!$B$32)</f>
        <v>96000</v>
      </c>
      <c r="R870" s="11" t="n">
        <f aca="false">P870-Q870</f>
        <v>332500</v>
      </c>
      <c r="S870" s="11" t="n">
        <f aca="false">IF(Calculator!$B$6="Yes",MIN(Q870,'Tax Tables'!$B$31*'Tax Tables'!$B$32),0)</f>
        <v>96000</v>
      </c>
      <c r="T870" s="11" t="n">
        <f aca="false">S870*Calculator!$B$7</f>
        <v>19200</v>
      </c>
      <c r="U870" s="11" t="n">
        <f aca="false">S870*Calculator!$B$8</f>
        <v>16320</v>
      </c>
      <c r="V870" s="11" t="n">
        <f aca="false">IF(Q870&gt;0,'Tax Tables'!$B$32*MIN(MAX(Q870/'Tax Tables'!$B$32*'Tax Tables'!$B$33,'Tax Tables'!$B$34),'Tax Tables'!$B$35),0)</f>
        <v>135</v>
      </c>
      <c r="W870" s="11" t="n">
        <f aca="false">Calculator!$B$5-P870-U870-V870</f>
        <v>-44955</v>
      </c>
      <c r="X870" s="11" t="n">
        <f aca="false">'Tax Tables'!$B$22*(MAX(W870,0)-IF(Calculator!$B$10="Yes",MIN(MAX(W870,0),'Tax Tables'!$B$27)*'Tax Tables'!$B$28+MIN(MAX(MAX(W870,0)-'Tax Tables'!$B$27,0),'Tax Tables'!$B$29)*'Tax Tables'!$B$30,MIN(MAX(W870,0),'Tax Tables'!$B$23)*'Tax Tables'!$B$24+MIN(MAX(MAX(W870,0)-'Tax Tables'!$B$23,0),'Tax Tables'!$B$25)*'Tax Tables'!$B$26))*1-MIN('Tax Tables'!$B$22*(MAX(W870,0)-IF(Calculator!$B$10="Yes",MIN(MAX(W870,0),'Tax Tables'!$B$27)*'Tax Tables'!$B$28+MIN(MAX(MAX(W870,0)-'Tax Tables'!$B$27,0),'Tax Tables'!$B$29)*'Tax Tables'!$B$30,MIN(MAX(W870,0),'Tax Tables'!$B$23)*'Tax Tables'!$B$24+MIN(MAX(MAX(W870,0)-'Tax Tables'!$B$23,0),'Tax Tables'!$B$25)*'Tax Tables'!$B$26))*Calculator!$B$11,Calculator!$B$12)</f>
        <v>0</v>
      </c>
      <c r="Y870" s="11" t="n">
        <f aca="false">MAX(W870,0)-X870</f>
        <v>0</v>
      </c>
      <c r="Z870" s="11" t="n">
        <f aca="false">MIN(IF(P870&gt;0,Calculator!$B$13,0)+T870+Calculator!$B$14,'Tax Tables'!$B$36)</f>
        <v>20200</v>
      </c>
      <c r="AA870" s="11" t="n">
        <f aca="false">MAX(P870-Z870,0)</f>
        <v>408300</v>
      </c>
      <c r="AB870" s="11" t="n">
        <f aca="false">SUMPRODUCT((AA870&gt;'Tax Tables'!$A$5:$A$17)*(AA870-'Tax Tables'!$A$5:$A$17)*'Tax Tables'!$C$5:$C$17)</f>
        <v>63976</v>
      </c>
      <c r="AC870" s="11" t="n">
        <f aca="false">IF(W870&lt;0,-1E+099,P870-T870-AB870+Y870+(T870+U870)*Calculator!$B$9)</f>
        <v>-1E+099</v>
      </c>
    </row>
    <row r="871" customFormat="false" ht="15" hidden="false" customHeight="false" outlineLevel="0" collapsed="false">
      <c r="A871" s="11" t="n">
        <f aca="false">858*$B$3</f>
        <v>429000</v>
      </c>
      <c r="B871" s="11" t="n">
        <f aca="false">0</f>
        <v>0</v>
      </c>
      <c r="C871" s="11" t="n">
        <f aca="false">A871-B871</f>
        <v>429000</v>
      </c>
      <c r="D871" s="11" t="n">
        <f aca="false">IF(Calculator!$B$6="Yes",MIN(B871,'Tax Tables'!$B$31*'Tax Tables'!$B$32),0)</f>
        <v>0</v>
      </c>
      <c r="E871" s="11" t="n">
        <f aca="false">D871*Calculator!$B$7</f>
        <v>0</v>
      </c>
      <c r="F871" s="11" t="n">
        <f aca="false">D871*Calculator!$B$8</f>
        <v>0</v>
      </c>
      <c r="G871" s="11" t="n">
        <f aca="false">IF(B871&gt;0,'Tax Tables'!$B$32*MIN(MAX(B871/'Tax Tables'!$B$32*'Tax Tables'!$B$33,'Tax Tables'!$B$34),'Tax Tables'!$B$35),0)</f>
        <v>0</v>
      </c>
      <c r="H871" s="11" t="n">
        <f aca="false">Calculator!$B$5-A871-F871-G871</f>
        <v>-29000</v>
      </c>
      <c r="I871" s="11" t="n">
        <f aca="false">'Tax Tables'!$B$22*(MAX(H871,0)-IF(Calculator!$B$10="Yes",MIN(MAX(H871,0),'Tax Tables'!$B$27)*'Tax Tables'!$B$28+MIN(MAX(MAX(H871,0)-'Tax Tables'!$B$27,0),'Tax Tables'!$B$29)*'Tax Tables'!$B$30,MIN(MAX(H871,0),'Tax Tables'!$B$23)*'Tax Tables'!$B$24+MIN(MAX(MAX(H871,0)-'Tax Tables'!$B$23,0),'Tax Tables'!$B$25)*'Tax Tables'!$B$26))*1-MIN('Tax Tables'!$B$22*(MAX(H871,0)-IF(Calculator!$B$10="Yes",MIN(MAX(H871,0),'Tax Tables'!$B$27)*'Tax Tables'!$B$28+MIN(MAX(MAX(H871,0)-'Tax Tables'!$B$27,0),'Tax Tables'!$B$29)*'Tax Tables'!$B$30,MIN(MAX(H871,0),'Tax Tables'!$B$23)*'Tax Tables'!$B$24+MIN(MAX(MAX(H871,0)-'Tax Tables'!$B$23,0),'Tax Tables'!$B$25)*'Tax Tables'!$B$26))*Calculator!$B$11,Calculator!$B$12)</f>
        <v>0</v>
      </c>
      <c r="J871" s="11" t="n">
        <f aca="false">MAX(H871,0)-I871</f>
        <v>0</v>
      </c>
      <c r="K871" s="11" t="n">
        <f aca="false">MIN(IF(A871&gt;0,Calculator!$B$13,0)+E871+Calculator!$B$14,'Tax Tables'!$B$36)</f>
        <v>1000</v>
      </c>
      <c r="L871" s="11" t="n">
        <f aca="false">MAX(A871-K871,0)</f>
        <v>428000</v>
      </c>
      <c r="M871" s="11" t="n">
        <f aca="false">SUMPRODUCT((L871&gt;'Tax Tables'!$A$5:$A$17)*(L871-'Tax Tables'!$A$5:$A$17)*'Tax Tables'!$C$5:$C$17)</f>
        <v>68310</v>
      </c>
      <c r="N871" s="11" t="n">
        <f aca="false">IF(H871&lt;0,-1E+099,A871-E871-M871+J871+(E871+F871)*Calculator!$B$9)</f>
        <v>-1E+099</v>
      </c>
      <c r="O871" s="2"/>
      <c r="P871" s="11" t="n">
        <f aca="false">858*$B$3</f>
        <v>429000</v>
      </c>
      <c r="Q871" s="11" t="n">
        <f aca="false">MIN(P871,'Tax Tables'!$B$31*'Tax Tables'!$B$32)</f>
        <v>96000</v>
      </c>
      <c r="R871" s="11" t="n">
        <f aca="false">P871-Q871</f>
        <v>333000</v>
      </c>
      <c r="S871" s="11" t="n">
        <f aca="false">IF(Calculator!$B$6="Yes",MIN(Q871,'Tax Tables'!$B$31*'Tax Tables'!$B$32),0)</f>
        <v>96000</v>
      </c>
      <c r="T871" s="11" t="n">
        <f aca="false">S871*Calculator!$B$7</f>
        <v>19200</v>
      </c>
      <c r="U871" s="11" t="n">
        <f aca="false">S871*Calculator!$B$8</f>
        <v>16320</v>
      </c>
      <c r="V871" s="11" t="n">
        <f aca="false">IF(Q871&gt;0,'Tax Tables'!$B$32*MIN(MAX(Q871/'Tax Tables'!$B$32*'Tax Tables'!$B$33,'Tax Tables'!$B$34),'Tax Tables'!$B$35),0)</f>
        <v>135</v>
      </c>
      <c r="W871" s="11" t="n">
        <f aca="false">Calculator!$B$5-P871-U871-V871</f>
        <v>-45455</v>
      </c>
      <c r="X871" s="11" t="n">
        <f aca="false">'Tax Tables'!$B$22*(MAX(W871,0)-IF(Calculator!$B$10="Yes",MIN(MAX(W871,0),'Tax Tables'!$B$27)*'Tax Tables'!$B$28+MIN(MAX(MAX(W871,0)-'Tax Tables'!$B$27,0),'Tax Tables'!$B$29)*'Tax Tables'!$B$30,MIN(MAX(W871,0),'Tax Tables'!$B$23)*'Tax Tables'!$B$24+MIN(MAX(MAX(W871,0)-'Tax Tables'!$B$23,0),'Tax Tables'!$B$25)*'Tax Tables'!$B$26))*1-MIN('Tax Tables'!$B$22*(MAX(W871,0)-IF(Calculator!$B$10="Yes",MIN(MAX(W871,0),'Tax Tables'!$B$27)*'Tax Tables'!$B$28+MIN(MAX(MAX(W871,0)-'Tax Tables'!$B$27,0),'Tax Tables'!$B$29)*'Tax Tables'!$B$30,MIN(MAX(W871,0),'Tax Tables'!$B$23)*'Tax Tables'!$B$24+MIN(MAX(MAX(W871,0)-'Tax Tables'!$B$23,0),'Tax Tables'!$B$25)*'Tax Tables'!$B$26))*Calculator!$B$11,Calculator!$B$12)</f>
        <v>0</v>
      </c>
      <c r="Y871" s="11" t="n">
        <f aca="false">MAX(W871,0)-X871</f>
        <v>0</v>
      </c>
      <c r="Z871" s="11" t="n">
        <f aca="false">MIN(IF(P871&gt;0,Calculator!$B$13,0)+T871+Calculator!$B$14,'Tax Tables'!$B$36)</f>
        <v>20200</v>
      </c>
      <c r="AA871" s="11" t="n">
        <f aca="false">MAX(P871-Z871,0)</f>
        <v>408800</v>
      </c>
      <c r="AB871" s="11" t="n">
        <f aca="false">SUMPRODUCT((AA871&gt;'Tax Tables'!$A$5:$A$17)*(AA871-'Tax Tables'!$A$5:$A$17)*'Tax Tables'!$C$5:$C$17)</f>
        <v>64086</v>
      </c>
      <c r="AC871" s="11" t="n">
        <f aca="false">IF(W871&lt;0,-1E+099,P871-T871-AB871+Y871+(T871+U871)*Calculator!$B$9)</f>
        <v>-1E+099</v>
      </c>
    </row>
    <row r="872" customFormat="false" ht="15" hidden="false" customHeight="false" outlineLevel="0" collapsed="false">
      <c r="A872" s="11" t="n">
        <f aca="false">859*$B$3</f>
        <v>429500</v>
      </c>
      <c r="B872" s="11" t="n">
        <f aca="false">0</f>
        <v>0</v>
      </c>
      <c r="C872" s="11" t="n">
        <f aca="false">A872-B872</f>
        <v>429500</v>
      </c>
      <c r="D872" s="11" t="n">
        <f aca="false">IF(Calculator!$B$6="Yes",MIN(B872,'Tax Tables'!$B$31*'Tax Tables'!$B$32),0)</f>
        <v>0</v>
      </c>
      <c r="E872" s="11" t="n">
        <f aca="false">D872*Calculator!$B$7</f>
        <v>0</v>
      </c>
      <c r="F872" s="11" t="n">
        <f aca="false">D872*Calculator!$B$8</f>
        <v>0</v>
      </c>
      <c r="G872" s="11" t="n">
        <f aca="false">IF(B872&gt;0,'Tax Tables'!$B$32*MIN(MAX(B872/'Tax Tables'!$B$32*'Tax Tables'!$B$33,'Tax Tables'!$B$34),'Tax Tables'!$B$35),0)</f>
        <v>0</v>
      </c>
      <c r="H872" s="11" t="n">
        <f aca="false">Calculator!$B$5-A872-F872-G872</f>
        <v>-29500</v>
      </c>
      <c r="I872" s="11" t="n">
        <f aca="false">'Tax Tables'!$B$22*(MAX(H872,0)-IF(Calculator!$B$10="Yes",MIN(MAX(H872,0),'Tax Tables'!$B$27)*'Tax Tables'!$B$28+MIN(MAX(MAX(H872,0)-'Tax Tables'!$B$27,0),'Tax Tables'!$B$29)*'Tax Tables'!$B$30,MIN(MAX(H872,0),'Tax Tables'!$B$23)*'Tax Tables'!$B$24+MIN(MAX(MAX(H872,0)-'Tax Tables'!$B$23,0),'Tax Tables'!$B$25)*'Tax Tables'!$B$26))*1-MIN('Tax Tables'!$B$22*(MAX(H872,0)-IF(Calculator!$B$10="Yes",MIN(MAX(H872,0),'Tax Tables'!$B$27)*'Tax Tables'!$B$28+MIN(MAX(MAX(H872,0)-'Tax Tables'!$B$27,0),'Tax Tables'!$B$29)*'Tax Tables'!$B$30,MIN(MAX(H872,0),'Tax Tables'!$B$23)*'Tax Tables'!$B$24+MIN(MAX(MAX(H872,0)-'Tax Tables'!$B$23,0),'Tax Tables'!$B$25)*'Tax Tables'!$B$26))*Calculator!$B$11,Calculator!$B$12)</f>
        <v>0</v>
      </c>
      <c r="J872" s="11" t="n">
        <f aca="false">MAX(H872,0)-I872</f>
        <v>0</v>
      </c>
      <c r="K872" s="11" t="n">
        <f aca="false">MIN(IF(A872&gt;0,Calculator!$B$13,0)+E872+Calculator!$B$14,'Tax Tables'!$B$36)</f>
        <v>1000</v>
      </c>
      <c r="L872" s="11" t="n">
        <f aca="false">MAX(A872-K872,0)</f>
        <v>428500</v>
      </c>
      <c r="M872" s="11" t="n">
        <f aca="false">SUMPRODUCT((L872&gt;'Tax Tables'!$A$5:$A$17)*(L872-'Tax Tables'!$A$5:$A$17)*'Tax Tables'!$C$5:$C$17)</f>
        <v>68420</v>
      </c>
      <c r="N872" s="11" t="n">
        <f aca="false">IF(H872&lt;0,-1E+099,A872-E872-M872+J872+(E872+F872)*Calculator!$B$9)</f>
        <v>-1E+099</v>
      </c>
      <c r="O872" s="2"/>
      <c r="P872" s="11" t="n">
        <f aca="false">859*$B$3</f>
        <v>429500</v>
      </c>
      <c r="Q872" s="11" t="n">
        <f aca="false">MIN(P872,'Tax Tables'!$B$31*'Tax Tables'!$B$32)</f>
        <v>96000</v>
      </c>
      <c r="R872" s="11" t="n">
        <f aca="false">P872-Q872</f>
        <v>333500</v>
      </c>
      <c r="S872" s="11" t="n">
        <f aca="false">IF(Calculator!$B$6="Yes",MIN(Q872,'Tax Tables'!$B$31*'Tax Tables'!$B$32),0)</f>
        <v>96000</v>
      </c>
      <c r="T872" s="11" t="n">
        <f aca="false">S872*Calculator!$B$7</f>
        <v>19200</v>
      </c>
      <c r="U872" s="11" t="n">
        <f aca="false">S872*Calculator!$B$8</f>
        <v>16320</v>
      </c>
      <c r="V872" s="11" t="n">
        <f aca="false">IF(Q872&gt;0,'Tax Tables'!$B$32*MIN(MAX(Q872/'Tax Tables'!$B$32*'Tax Tables'!$B$33,'Tax Tables'!$B$34),'Tax Tables'!$B$35),0)</f>
        <v>135</v>
      </c>
      <c r="W872" s="11" t="n">
        <f aca="false">Calculator!$B$5-P872-U872-V872</f>
        <v>-45955</v>
      </c>
      <c r="X872" s="11" t="n">
        <f aca="false">'Tax Tables'!$B$22*(MAX(W872,0)-IF(Calculator!$B$10="Yes",MIN(MAX(W872,0),'Tax Tables'!$B$27)*'Tax Tables'!$B$28+MIN(MAX(MAX(W872,0)-'Tax Tables'!$B$27,0),'Tax Tables'!$B$29)*'Tax Tables'!$B$30,MIN(MAX(W872,0),'Tax Tables'!$B$23)*'Tax Tables'!$B$24+MIN(MAX(MAX(W872,0)-'Tax Tables'!$B$23,0),'Tax Tables'!$B$25)*'Tax Tables'!$B$26))*1-MIN('Tax Tables'!$B$22*(MAX(W872,0)-IF(Calculator!$B$10="Yes",MIN(MAX(W872,0),'Tax Tables'!$B$27)*'Tax Tables'!$B$28+MIN(MAX(MAX(W872,0)-'Tax Tables'!$B$27,0),'Tax Tables'!$B$29)*'Tax Tables'!$B$30,MIN(MAX(W872,0),'Tax Tables'!$B$23)*'Tax Tables'!$B$24+MIN(MAX(MAX(W872,0)-'Tax Tables'!$B$23,0),'Tax Tables'!$B$25)*'Tax Tables'!$B$26))*Calculator!$B$11,Calculator!$B$12)</f>
        <v>0</v>
      </c>
      <c r="Y872" s="11" t="n">
        <f aca="false">MAX(W872,0)-X872</f>
        <v>0</v>
      </c>
      <c r="Z872" s="11" t="n">
        <f aca="false">MIN(IF(P872&gt;0,Calculator!$B$13,0)+T872+Calculator!$B$14,'Tax Tables'!$B$36)</f>
        <v>20200</v>
      </c>
      <c r="AA872" s="11" t="n">
        <f aca="false">MAX(P872-Z872,0)</f>
        <v>409300</v>
      </c>
      <c r="AB872" s="11" t="n">
        <f aca="false">SUMPRODUCT((AA872&gt;'Tax Tables'!$A$5:$A$17)*(AA872-'Tax Tables'!$A$5:$A$17)*'Tax Tables'!$C$5:$C$17)</f>
        <v>64196</v>
      </c>
      <c r="AC872" s="11" t="n">
        <f aca="false">IF(W872&lt;0,-1E+099,P872-T872-AB872+Y872+(T872+U872)*Calculator!$B$9)</f>
        <v>-1E+099</v>
      </c>
    </row>
    <row r="873" customFormat="false" ht="15" hidden="false" customHeight="false" outlineLevel="0" collapsed="false">
      <c r="A873" s="11" t="n">
        <f aca="false">860*$B$3</f>
        <v>430000</v>
      </c>
      <c r="B873" s="11" t="n">
        <f aca="false">0</f>
        <v>0</v>
      </c>
      <c r="C873" s="11" t="n">
        <f aca="false">A873-B873</f>
        <v>430000</v>
      </c>
      <c r="D873" s="11" t="n">
        <f aca="false">IF(Calculator!$B$6="Yes",MIN(B873,'Tax Tables'!$B$31*'Tax Tables'!$B$32),0)</f>
        <v>0</v>
      </c>
      <c r="E873" s="11" t="n">
        <f aca="false">D873*Calculator!$B$7</f>
        <v>0</v>
      </c>
      <c r="F873" s="11" t="n">
        <f aca="false">D873*Calculator!$B$8</f>
        <v>0</v>
      </c>
      <c r="G873" s="11" t="n">
        <f aca="false">IF(B873&gt;0,'Tax Tables'!$B$32*MIN(MAX(B873/'Tax Tables'!$B$32*'Tax Tables'!$B$33,'Tax Tables'!$B$34),'Tax Tables'!$B$35),0)</f>
        <v>0</v>
      </c>
      <c r="H873" s="11" t="n">
        <f aca="false">Calculator!$B$5-A873-F873-G873</f>
        <v>-30000</v>
      </c>
      <c r="I873" s="11" t="n">
        <f aca="false">'Tax Tables'!$B$22*(MAX(H873,0)-IF(Calculator!$B$10="Yes",MIN(MAX(H873,0),'Tax Tables'!$B$27)*'Tax Tables'!$B$28+MIN(MAX(MAX(H873,0)-'Tax Tables'!$B$27,0),'Tax Tables'!$B$29)*'Tax Tables'!$B$30,MIN(MAX(H873,0),'Tax Tables'!$B$23)*'Tax Tables'!$B$24+MIN(MAX(MAX(H873,0)-'Tax Tables'!$B$23,0),'Tax Tables'!$B$25)*'Tax Tables'!$B$26))*1-MIN('Tax Tables'!$B$22*(MAX(H873,0)-IF(Calculator!$B$10="Yes",MIN(MAX(H873,0),'Tax Tables'!$B$27)*'Tax Tables'!$B$28+MIN(MAX(MAX(H873,0)-'Tax Tables'!$B$27,0),'Tax Tables'!$B$29)*'Tax Tables'!$B$30,MIN(MAX(H873,0),'Tax Tables'!$B$23)*'Tax Tables'!$B$24+MIN(MAX(MAX(H873,0)-'Tax Tables'!$B$23,0),'Tax Tables'!$B$25)*'Tax Tables'!$B$26))*Calculator!$B$11,Calculator!$B$12)</f>
        <v>0</v>
      </c>
      <c r="J873" s="11" t="n">
        <f aca="false">MAX(H873,0)-I873</f>
        <v>0</v>
      </c>
      <c r="K873" s="11" t="n">
        <f aca="false">MIN(IF(A873&gt;0,Calculator!$B$13,0)+E873+Calculator!$B$14,'Tax Tables'!$B$36)</f>
        <v>1000</v>
      </c>
      <c r="L873" s="11" t="n">
        <f aca="false">MAX(A873-K873,0)</f>
        <v>429000</v>
      </c>
      <c r="M873" s="11" t="n">
        <f aca="false">SUMPRODUCT((L873&gt;'Tax Tables'!$A$5:$A$17)*(L873-'Tax Tables'!$A$5:$A$17)*'Tax Tables'!$C$5:$C$17)</f>
        <v>68530</v>
      </c>
      <c r="N873" s="11" t="n">
        <f aca="false">IF(H873&lt;0,-1E+099,A873-E873-M873+J873+(E873+F873)*Calculator!$B$9)</f>
        <v>-1E+099</v>
      </c>
      <c r="O873" s="2"/>
      <c r="P873" s="11" t="n">
        <f aca="false">860*$B$3</f>
        <v>430000</v>
      </c>
      <c r="Q873" s="11" t="n">
        <f aca="false">MIN(P873,'Tax Tables'!$B$31*'Tax Tables'!$B$32)</f>
        <v>96000</v>
      </c>
      <c r="R873" s="11" t="n">
        <f aca="false">P873-Q873</f>
        <v>334000</v>
      </c>
      <c r="S873" s="11" t="n">
        <f aca="false">IF(Calculator!$B$6="Yes",MIN(Q873,'Tax Tables'!$B$31*'Tax Tables'!$B$32),0)</f>
        <v>96000</v>
      </c>
      <c r="T873" s="11" t="n">
        <f aca="false">S873*Calculator!$B$7</f>
        <v>19200</v>
      </c>
      <c r="U873" s="11" t="n">
        <f aca="false">S873*Calculator!$B$8</f>
        <v>16320</v>
      </c>
      <c r="V873" s="11" t="n">
        <f aca="false">IF(Q873&gt;0,'Tax Tables'!$B$32*MIN(MAX(Q873/'Tax Tables'!$B$32*'Tax Tables'!$B$33,'Tax Tables'!$B$34),'Tax Tables'!$B$35),0)</f>
        <v>135</v>
      </c>
      <c r="W873" s="11" t="n">
        <f aca="false">Calculator!$B$5-P873-U873-V873</f>
        <v>-46455</v>
      </c>
      <c r="X873" s="11" t="n">
        <f aca="false">'Tax Tables'!$B$22*(MAX(W873,0)-IF(Calculator!$B$10="Yes",MIN(MAX(W873,0),'Tax Tables'!$B$27)*'Tax Tables'!$B$28+MIN(MAX(MAX(W873,0)-'Tax Tables'!$B$27,0),'Tax Tables'!$B$29)*'Tax Tables'!$B$30,MIN(MAX(W873,0),'Tax Tables'!$B$23)*'Tax Tables'!$B$24+MIN(MAX(MAX(W873,0)-'Tax Tables'!$B$23,0),'Tax Tables'!$B$25)*'Tax Tables'!$B$26))*1-MIN('Tax Tables'!$B$22*(MAX(W873,0)-IF(Calculator!$B$10="Yes",MIN(MAX(W873,0),'Tax Tables'!$B$27)*'Tax Tables'!$B$28+MIN(MAX(MAX(W873,0)-'Tax Tables'!$B$27,0),'Tax Tables'!$B$29)*'Tax Tables'!$B$30,MIN(MAX(W873,0),'Tax Tables'!$B$23)*'Tax Tables'!$B$24+MIN(MAX(MAX(W873,0)-'Tax Tables'!$B$23,0),'Tax Tables'!$B$25)*'Tax Tables'!$B$26))*Calculator!$B$11,Calculator!$B$12)</f>
        <v>0</v>
      </c>
      <c r="Y873" s="11" t="n">
        <f aca="false">MAX(W873,0)-X873</f>
        <v>0</v>
      </c>
      <c r="Z873" s="11" t="n">
        <f aca="false">MIN(IF(P873&gt;0,Calculator!$B$13,0)+T873+Calculator!$B$14,'Tax Tables'!$B$36)</f>
        <v>20200</v>
      </c>
      <c r="AA873" s="11" t="n">
        <f aca="false">MAX(P873-Z873,0)</f>
        <v>409800</v>
      </c>
      <c r="AB873" s="11" t="n">
        <f aca="false">SUMPRODUCT((AA873&gt;'Tax Tables'!$A$5:$A$17)*(AA873-'Tax Tables'!$A$5:$A$17)*'Tax Tables'!$C$5:$C$17)</f>
        <v>64306</v>
      </c>
      <c r="AC873" s="11" t="n">
        <f aca="false">IF(W873&lt;0,-1E+099,P873-T873-AB873+Y873+(T873+U873)*Calculator!$B$9)</f>
        <v>-1E+099</v>
      </c>
    </row>
    <row r="874" customFormat="false" ht="15" hidden="false" customHeight="false" outlineLevel="0" collapsed="false">
      <c r="A874" s="11" t="n">
        <f aca="false">861*$B$3</f>
        <v>430500</v>
      </c>
      <c r="B874" s="11" t="n">
        <f aca="false">0</f>
        <v>0</v>
      </c>
      <c r="C874" s="11" t="n">
        <f aca="false">A874-B874</f>
        <v>430500</v>
      </c>
      <c r="D874" s="11" t="n">
        <f aca="false">IF(Calculator!$B$6="Yes",MIN(B874,'Tax Tables'!$B$31*'Tax Tables'!$B$32),0)</f>
        <v>0</v>
      </c>
      <c r="E874" s="11" t="n">
        <f aca="false">D874*Calculator!$B$7</f>
        <v>0</v>
      </c>
      <c r="F874" s="11" t="n">
        <f aca="false">D874*Calculator!$B$8</f>
        <v>0</v>
      </c>
      <c r="G874" s="11" t="n">
        <f aca="false">IF(B874&gt;0,'Tax Tables'!$B$32*MIN(MAX(B874/'Tax Tables'!$B$32*'Tax Tables'!$B$33,'Tax Tables'!$B$34),'Tax Tables'!$B$35),0)</f>
        <v>0</v>
      </c>
      <c r="H874" s="11" t="n">
        <f aca="false">Calculator!$B$5-A874-F874-G874</f>
        <v>-30500</v>
      </c>
      <c r="I874" s="11" t="n">
        <f aca="false">'Tax Tables'!$B$22*(MAX(H874,0)-IF(Calculator!$B$10="Yes",MIN(MAX(H874,0),'Tax Tables'!$B$27)*'Tax Tables'!$B$28+MIN(MAX(MAX(H874,0)-'Tax Tables'!$B$27,0),'Tax Tables'!$B$29)*'Tax Tables'!$B$30,MIN(MAX(H874,0),'Tax Tables'!$B$23)*'Tax Tables'!$B$24+MIN(MAX(MAX(H874,0)-'Tax Tables'!$B$23,0),'Tax Tables'!$B$25)*'Tax Tables'!$B$26))*1-MIN('Tax Tables'!$B$22*(MAX(H874,0)-IF(Calculator!$B$10="Yes",MIN(MAX(H874,0),'Tax Tables'!$B$27)*'Tax Tables'!$B$28+MIN(MAX(MAX(H874,0)-'Tax Tables'!$B$27,0),'Tax Tables'!$B$29)*'Tax Tables'!$B$30,MIN(MAX(H874,0),'Tax Tables'!$B$23)*'Tax Tables'!$B$24+MIN(MAX(MAX(H874,0)-'Tax Tables'!$B$23,0),'Tax Tables'!$B$25)*'Tax Tables'!$B$26))*Calculator!$B$11,Calculator!$B$12)</f>
        <v>0</v>
      </c>
      <c r="J874" s="11" t="n">
        <f aca="false">MAX(H874,0)-I874</f>
        <v>0</v>
      </c>
      <c r="K874" s="11" t="n">
        <f aca="false">MIN(IF(A874&gt;0,Calculator!$B$13,0)+E874+Calculator!$B$14,'Tax Tables'!$B$36)</f>
        <v>1000</v>
      </c>
      <c r="L874" s="11" t="n">
        <f aca="false">MAX(A874-K874,0)</f>
        <v>429500</v>
      </c>
      <c r="M874" s="11" t="n">
        <f aca="false">SUMPRODUCT((L874&gt;'Tax Tables'!$A$5:$A$17)*(L874-'Tax Tables'!$A$5:$A$17)*'Tax Tables'!$C$5:$C$17)</f>
        <v>68640</v>
      </c>
      <c r="N874" s="11" t="n">
        <f aca="false">IF(H874&lt;0,-1E+099,A874-E874-M874+J874+(E874+F874)*Calculator!$B$9)</f>
        <v>-1E+099</v>
      </c>
      <c r="O874" s="2"/>
      <c r="P874" s="11" t="n">
        <f aca="false">861*$B$3</f>
        <v>430500</v>
      </c>
      <c r="Q874" s="11" t="n">
        <f aca="false">MIN(P874,'Tax Tables'!$B$31*'Tax Tables'!$B$32)</f>
        <v>96000</v>
      </c>
      <c r="R874" s="11" t="n">
        <f aca="false">P874-Q874</f>
        <v>334500</v>
      </c>
      <c r="S874" s="11" t="n">
        <f aca="false">IF(Calculator!$B$6="Yes",MIN(Q874,'Tax Tables'!$B$31*'Tax Tables'!$B$32),0)</f>
        <v>96000</v>
      </c>
      <c r="T874" s="11" t="n">
        <f aca="false">S874*Calculator!$B$7</f>
        <v>19200</v>
      </c>
      <c r="U874" s="11" t="n">
        <f aca="false">S874*Calculator!$B$8</f>
        <v>16320</v>
      </c>
      <c r="V874" s="11" t="n">
        <f aca="false">IF(Q874&gt;0,'Tax Tables'!$B$32*MIN(MAX(Q874/'Tax Tables'!$B$32*'Tax Tables'!$B$33,'Tax Tables'!$B$34),'Tax Tables'!$B$35),0)</f>
        <v>135</v>
      </c>
      <c r="W874" s="11" t="n">
        <f aca="false">Calculator!$B$5-P874-U874-V874</f>
        <v>-46955</v>
      </c>
      <c r="X874" s="11" t="n">
        <f aca="false">'Tax Tables'!$B$22*(MAX(W874,0)-IF(Calculator!$B$10="Yes",MIN(MAX(W874,0),'Tax Tables'!$B$27)*'Tax Tables'!$B$28+MIN(MAX(MAX(W874,0)-'Tax Tables'!$B$27,0),'Tax Tables'!$B$29)*'Tax Tables'!$B$30,MIN(MAX(W874,0),'Tax Tables'!$B$23)*'Tax Tables'!$B$24+MIN(MAX(MAX(W874,0)-'Tax Tables'!$B$23,0),'Tax Tables'!$B$25)*'Tax Tables'!$B$26))*1-MIN('Tax Tables'!$B$22*(MAX(W874,0)-IF(Calculator!$B$10="Yes",MIN(MAX(W874,0),'Tax Tables'!$B$27)*'Tax Tables'!$B$28+MIN(MAX(MAX(W874,0)-'Tax Tables'!$B$27,0),'Tax Tables'!$B$29)*'Tax Tables'!$B$30,MIN(MAX(W874,0),'Tax Tables'!$B$23)*'Tax Tables'!$B$24+MIN(MAX(MAX(W874,0)-'Tax Tables'!$B$23,0),'Tax Tables'!$B$25)*'Tax Tables'!$B$26))*Calculator!$B$11,Calculator!$B$12)</f>
        <v>0</v>
      </c>
      <c r="Y874" s="11" t="n">
        <f aca="false">MAX(W874,0)-X874</f>
        <v>0</v>
      </c>
      <c r="Z874" s="11" t="n">
        <f aca="false">MIN(IF(P874&gt;0,Calculator!$B$13,0)+T874+Calculator!$B$14,'Tax Tables'!$B$36)</f>
        <v>20200</v>
      </c>
      <c r="AA874" s="11" t="n">
        <f aca="false">MAX(P874-Z874,0)</f>
        <v>410300</v>
      </c>
      <c r="AB874" s="11" t="n">
        <f aca="false">SUMPRODUCT((AA874&gt;'Tax Tables'!$A$5:$A$17)*(AA874-'Tax Tables'!$A$5:$A$17)*'Tax Tables'!$C$5:$C$17)</f>
        <v>64416</v>
      </c>
      <c r="AC874" s="11" t="n">
        <f aca="false">IF(W874&lt;0,-1E+099,P874-T874-AB874+Y874+(T874+U874)*Calculator!$B$9)</f>
        <v>-1E+099</v>
      </c>
    </row>
    <row r="875" customFormat="false" ht="15" hidden="false" customHeight="false" outlineLevel="0" collapsed="false">
      <c r="A875" s="11" t="n">
        <f aca="false">862*$B$3</f>
        <v>431000</v>
      </c>
      <c r="B875" s="11" t="n">
        <f aca="false">0</f>
        <v>0</v>
      </c>
      <c r="C875" s="11" t="n">
        <f aca="false">A875-B875</f>
        <v>431000</v>
      </c>
      <c r="D875" s="11" t="n">
        <f aca="false">IF(Calculator!$B$6="Yes",MIN(B875,'Tax Tables'!$B$31*'Tax Tables'!$B$32),0)</f>
        <v>0</v>
      </c>
      <c r="E875" s="11" t="n">
        <f aca="false">D875*Calculator!$B$7</f>
        <v>0</v>
      </c>
      <c r="F875" s="11" t="n">
        <f aca="false">D875*Calculator!$B$8</f>
        <v>0</v>
      </c>
      <c r="G875" s="11" t="n">
        <f aca="false">IF(B875&gt;0,'Tax Tables'!$B$32*MIN(MAX(B875/'Tax Tables'!$B$32*'Tax Tables'!$B$33,'Tax Tables'!$B$34),'Tax Tables'!$B$35),0)</f>
        <v>0</v>
      </c>
      <c r="H875" s="11" t="n">
        <f aca="false">Calculator!$B$5-A875-F875-G875</f>
        <v>-31000</v>
      </c>
      <c r="I875" s="11" t="n">
        <f aca="false">'Tax Tables'!$B$22*(MAX(H875,0)-IF(Calculator!$B$10="Yes",MIN(MAX(H875,0),'Tax Tables'!$B$27)*'Tax Tables'!$B$28+MIN(MAX(MAX(H875,0)-'Tax Tables'!$B$27,0),'Tax Tables'!$B$29)*'Tax Tables'!$B$30,MIN(MAX(H875,0),'Tax Tables'!$B$23)*'Tax Tables'!$B$24+MIN(MAX(MAX(H875,0)-'Tax Tables'!$B$23,0),'Tax Tables'!$B$25)*'Tax Tables'!$B$26))*1-MIN('Tax Tables'!$B$22*(MAX(H875,0)-IF(Calculator!$B$10="Yes",MIN(MAX(H875,0),'Tax Tables'!$B$27)*'Tax Tables'!$B$28+MIN(MAX(MAX(H875,0)-'Tax Tables'!$B$27,0),'Tax Tables'!$B$29)*'Tax Tables'!$B$30,MIN(MAX(H875,0),'Tax Tables'!$B$23)*'Tax Tables'!$B$24+MIN(MAX(MAX(H875,0)-'Tax Tables'!$B$23,0),'Tax Tables'!$B$25)*'Tax Tables'!$B$26))*Calculator!$B$11,Calculator!$B$12)</f>
        <v>0</v>
      </c>
      <c r="J875" s="11" t="n">
        <f aca="false">MAX(H875,0)-I875</f>
        <v>0</v>
      </c>
      <c r="K875" s="11" t="n">
        <f aca="false">MIN(IF(A875&gt;0,Calculator!$B$13,0)+E875+Calculator!$B$14,'Tax Tables'!$B$36)</f>
        <v>1000</v>
      </c>
      <c r="L875" s="11" t="n">
        <f aca="false">MAX(A875-K875,0)</f>
        <v>430000</v>
      </c>
      <c r="M875" s="11" t="n">
        <f aca="false">SUMPRODUCT((L875&gt;'Tax Tables'!$A$5:$A$17)*(L875-'Tax Tables'!$A$5:$A$17)*'Tax Tables'!$C$5:$C$17)</f>
        <v>68750</v>
      </c>
      <c r="N875" s="11" t="n">
        <f aca="false">IF(H875&lt;0,-1E+099,A875-E875-M875+J875+(E875+F875)*Calculator!$B$9)</f>
        <v>-1E+099</v>
      </c>
      <c r="O875" s="2"/>
      <c r="P875" s="11" t="n">
        <f aca="false">862*$B$3</f>
        <v>431000</v>
      </c>
      <c r="Q875" s="11" t="n">
        <f aca="false">MIN(P875,'Tax Tables'!$B$31*'Tax Tables'!$B$32)</f>
        <v>96000</v>
      </c>
      <c r="R875" s="11" t="n">
        <f aca="false">P875-Q875</f>
        <v>335000</v>
      </c>
      <c r="S875" s="11" t="n">
        <f aca="false">IF(Calculator!$B$6="Yes",MIN(Q875,'Tax Tables'!$B$31*'Tax Tables'!$B$32),0)</f>
        <v>96000</v>
      </c>
      <c r="T875" s="11" t="n">
        <f aca="false">S875*Calculator!$B$7</f>
        <v>19200</v>
      </c>
      <c r="U875" s="11" t="n">
        <f aca="false">S875*Calculator!$B$8</f>
        <v>16320</v>
      </c>
      <c r="V875" s="11" t="n">
        <f aca="false">IF(Q875&gt;0,'Tax Tables'!$B$32*MIN(MAX(Q875/'Tax Tables'!$B$32*'Tax Tables'!$B$33,'Tax Tables'!$B$34),'Tax Tables'!$B$35),0)</f>
        <v>135</v>
      </c>
      <c r="W875" s="11" t="n">
        <f aca="false">Calculator!$B$5-P875-U875-V875</f>
        <v>-47455</v>
      </c>
      <c r="X875" s="11" t="n">
        <f aca="false">'Tax Tables'!$B$22*(MAX(W875,0)-IF(Calculator!$B$10="Yes",MIN(MAX(W875,0),'Tax Tables'!$B$27)*'Tax Tables'!$B$28+MIN(MAX(MAX(W875,0)-'Tax Tables'!$B$27,0),'Tax Tables'!$B$29)*'Tax Tables'!$B$30,MIN(MAX(W875,0),'Tax Tables'!$B$23)*'Tax Tables'!$B$24+MIN(MAX(MAX(W875,0)-'Tax Tables'!$B$23,0),'Tax Tables'!$B$25)*'Tax Tables'!$B$26))*1-MIN('Tax Tables'!$B$22*(MAX(W875,0)-IF(Calculator!$B$10="Yes",MIN(MAX(W875,0),'Tax Tables'!$B$27)*'Tax Tables'!$B$28+MIN(MAX(MAX(W875,0)-'Tax Tables'!$B$27,0),'Tax Tables'!$B$29)*'Tax Tables'!$B$30,MIN(MAX(W875,0),'Tax Tables'!$B$23)*'Tax Tables'!$B$24+MIN(MAX(MAX(W875,0)-'Tax Tables'!$B$23,0),'Tax Tables'!$B$25)*'Tax Tables'!$B$26))*Calculator!$B$11,Calculator!$B$12)</f>
        <v>0</v>
      </c>
      <c r="Y875" s="11" t="n">
        <f aca="false">MAX(W875,0)-X875</f>
        <v>0</v>
      </c>
      <c r="Z875" s="11" t="n">
        <f aca="false">MIN(IF(P875&gt;0,Calculator!$B$13,0)+T875+Calculator!$B$14,'Tax Tables'!$B$36)</f>
        <v>20200</v>
      </c>
      <c r="AA875" s="11" t="n">
        <f aca="false">MAX(P875-Z875,0)</f>
        <v>410800</v>
      </c>
      <c r="AB875" s="11" t="n">
        <f aca="false">SUMPRODUCT((AA875&gt;'Tax Tables'!$A$5:$A$17)*(AA875-'Tax Tables'!$A$5:$A$17)*'Tax Tables'!$C$5:$C$17)</f>
        <v>64526</v>
      </c>
      <c r="AC875" s="11" t="n">
        <f aca="false">IF(W875&lt;0,-1E+099,P875-T875-AB875+Y875+(T875+U875)*Calculator!$B$9)</f>
        <v>-1E+099</v>
      </c>
    </row>
    <row r="876" customFormat="false" ht="15" hidden="false" customHeight="false" outlineLevel="0" collapsed="false">
      <c r="A876" s="11" t="n">
        <f aca="false">863*$B$3</f>
        <v>431500</v>
      </c>
      <c r="B876" s="11" t="n">
        <f aca="false">0</f>
        <v>0</v>
      </c>
      <c r="C876" s="11" t="n">
        <f aca="false">A876-B876</f>
        <v>431500</v>
      </c>
      <c r="D876" s="11" t="n">
        <f aca="false">IF(Calculator!$B$6="Yes",MIN(B876,'Tax Tables'!$B$31*'Tax Tables'!$B$32),0)</f>
        <v>0</v>
      </c>
      <c r="E876" s="11" t="n">
        <f aca="false">D876*Calculator!$B$7</f>
        <v>0</v>
      </c>
      <c r="F876" s="11" t="n">
        <f aca="false">D876*Calculator!$B$8</f>
        <v>0</v>
      </c>
      <c r="G876" s="11" t="n">
        <f aca="false">IF(B876&gt;0,'Tax Tables'!$B$32*MIN(MAX(B876/'Tax Tables'!$B$32*'Tax Tables'!$B$33,'Tax Tables'!$B$34),'Tax Tables'!$B$35),0)</f>
        <v>0</v>
      </c>
      <c r="H876" s="11" t="n">
        <f aca="false">Calculator!$B$5-A876-F876-G876</f>
        <v>-31500</v>
      </c>
      <c r="I876" s="11" t="n">
        <f aca="false">'Tax Tables'!$B$22*(MAX(H876,0)-IF(Calculator!$B$10="Yes",MIN(MAX(H876,0),'Tax Tables'!$B$27)*'Tax Tables'!$B$28+MIN(MAX(MAX(H876,0)-'Tax Tables'!$B$27,0),'Tax Tables'!$B$29)*'Tax Tables'!$B$30,MIN(MAX(H876,0),'Tax Tables'!$B$23)*'Tax Tables'!$B$24+MIN(MAX(MAX(H876,0)-'Tax Tables'!$B$23,0),'Tax Tables'!$B$25)*'Tax Tables'!$B$26))*1-MIN('Tax Tables'!$B$22*(MAX(H876,0)-IF(Calculator!$B$10="Yes",MIN(MAX(H876,0),'Tax Tables'!$B$27)*'Tax Tables'!$B$28+MIN(MAX(MAX(H876,0)-'Tax Tables'!$B$27,0),'Tax Tables'!$B$29)*'Tax Tables'!$B$30,MIN(MAX(H876,0),'Tax Tables'!$B$23)*'Tax Tables'!$B$24+MIN(MAX(MAX(H876,0)-'Tax Tables'!$B$23,0),'Tax Tables'!$B$25)*'Tax Tables'!$B$26))*Calculator!$B$11,Calculator!$B$12)</f>
        <v>0</v>
      </c>
      <c r="J876" s="11" t="n">
        <f aca="false">MAX(H876,0)-I876</f>
        <v>0</v>
      </c>
      <c r="K876" s="11" t="n">
        <f aca="false">MIN(IF(A876&gt;0,Calculator!$B$13,0)+E876+Calculator!$B$14,'Tax Tables'!$B$36)</f>
        <v>1000</v>
      </c>
      <c r="L876" s="11" t="n">
        <f aca="false">MAX(A876-K876,0)</f>
        <v>430500</v>
      </c>
      <c r="M876" s="11" t="n">
        <f aca="false">SUMPRODUCT((L876&gt;'Tax Tables'!$A$5:$A$17)*(L876-'Tax Tables'!$A$5:$A$17)*'Tax Tables'!$C$5:$C$17)</f>
        <v>68860</v>
      </c>
      <c r="N876" s="11" t="n">
        <f aca="false">IF(H876&lt;0,-1E+099,A876-E876-M876+J876+(E876+F876)*Calculator!$B$9)</f>
        <v>-1E+099</v>
      </c>
      <c r="O876" s="2"/>
      <c r="P876" s="11" t="n">
        <f aca="false">863*$B$3</f>
        <v>431500</v>
      </c>
      <c r="Q876" s="11" t="n">
        <f aca="false">MIN(P876,'Tax Tables'!$B$31*'Tax Tables'!$B$32)</f>
        <v>96000</v>
      </c>
      <c r="R876" s="11" t="n">
        <f aca="false">P876-Q876</f>
        <v>335500</v>
      </c>
      <c r="S876" s="11" t="n">
        <f aca="false">IF(Calculator!$B$6="Yes",MIN(Q876,'Tax Tables'!$B$31*'Tax Tables'!$B$32),0)</f>
        <v>96000</v>
      </c>
      <c r="T876" s="11" t="n">
        <f aca="false">S876*Calculator!$B$7</f>
        <v>19200</v>
      </c>
      <c r="U876" s="11" t="n">
        <f aca="false">S876*Calculator!$B$8</f>
        <v>16320</v>
      </c>
      <c r="V876" s="11" t="n">
        <f aca="false">IF(Q876&gt;0,'Tax Tables'!$B$32*MIN(MAX(Q876/'Tax Tables'!$B$32*'Tax Tables'!$B$33,'Tax Tables'!$B$34),'Tax Tables'!$B$35),0)</f>
        <v>135</v>
      </c>
      <c r="W876" s="11" t="n">
        <f aca="false">Calculator!$B$5-P876-U876-V876</f>
        <v>-47955</v>
      </c>
      <c r="X876" s="11" t="n">
        <f aca="false">'Tax Tables'!$B$22*(MAX(W876,0)-IF(Calculator!$B$10="Yes",MIN(MAX(W876,0),'Tax Tables'!$B$27)*'Tax Tables'!$B$28+MIN(MAX(MAX(W876,0)-'Tax Tables'!$B$27,0),'Tax Tables'!$B$29)*'Tax Tables'!$B$30,MIN(MAX(W876,0),'Tax Tables'!$B$23)*'Tax Tables'!$B$24+MIN(MAX(MAX(W876,0)-'Tax Tables'!$B$23,0),'Tax Tables'!$B$25)*'Tax Tables'!$B$26))*1-MIN('Tax Tables'!$B$22*(MAX(W876,0)-IF(Calculator!$B$10="Yes",MIN(MAX(W876,0),'Tax Tables'!$B$27)*'Tax Tables'!$B$28+MIN(MAX(MAX(W876,0)-'Tax Tables'!$B$27,0),'Tax Tables'!$B$29)*'Tax Tables'!$B$30,MIN(MAX(W876,0),'Tax Tables'!$B$23)*'Tax Tables'!$B$24+MIN(MAX(MAX(W876,0)-'Tax Tables'!$B$23,0),'Tax Tables'!$B$25)*'Tax Tables'!$B$26))*Calculator!$B$11,Calculator!$B$12)</f>
        <v>0</v>
      </c>
      <c r="Y876" s="11" t="n">
        <f aca="false">MAX(W876,0)-X876</f>
        <v>0</v>
      </c>
      <c r="Z876" s="11" t="n">
        <f aca="false">MIN(IF(P876&gt;0,Calculator!$B$13,0)+T876+Calculator!$B$14,'Tax Tables'!$B$36)</f>
        <v>20200</v>
      </c>
      <c r="AA876" s="11" t="n">
        <f aca="false">MAX(P876-Z876,0)</f>
        <v>411300</v>
      </c>
      <c r="AB876" s="11" t="n">
        <f aca="false">SUMPRODUCT((AA876&gt;'Tax Tables'!$A$5:$A$17)*(AA876-'Tax Tables'!$A$5:$A$17)*'Tax Tables'!$C$5:$C$17)</f>
        <v>64636</v>
      </c>
      <c r="AC876" s="11" t="n">
        <f aca="false">IF(W876&lt;0,-1E+099,P876-T876-AB876+Y876+(T876+U876)*Calculator!$B$9)</f>
        <v>-1E+099</v>
      </c>
    </row>
    <row r="877" customFormat="false" ht="15" hidden="false" customHeight="false" outlineLevel="0" collapsed="false">
      <c r="A877" s="11" t="n">
        <f aca="false">864*$B$3</f>
        <v>432000</v>
      </c>
      <c r="B877" s="11" t="n">
        <f aca="false">0</f>
        <v>0</v>
      </c>
      <c r="C877" s="11" t="n">
        <f aca="false">A877-B877</f>
        <v>432000</v>
      </c>
      <c r="D877" s="11" t="n">
        <f aca="false">IF(Calculator!$B$6="Yes",MIN(B877,'Tax Tables'!$B$31*'Tax Tables'!$B$32),0)</f>
        <v>0</v>
      </c>
      <c r="E877" s="11" t="n">
        <f aca="false">D877*Calculator!$B$7</f>
        <v>0</v>
      </c>
      <c r="F877" s="11" t="n">
        <f aca="false">D877*Calculator!$B$8</f>
        <v>0</v>
      </c>
      <c r="G877" s="11" t="n">
        <f aca="false">IF(B877&gt;0,'Tax Tables'!$B$32*MIN(MAX(B877/'Tax Tables'!$B$32*'Tax Tables'!$B$33,'Tax Tables'!$B$34),'Tax Tables'!$B$35),0)</f>
        <v>0</v>
      </c>
      <c r="H877" s="11" t="n">
        <f aca="false">Calculator!$B$5-A877-F877-G877</f>
        <v>-32000</v>
      </c>
      <c r="I877" s="11" t="n">
        <f aca="false">'Tax Tables'!$B$22*(MAX(H877,0)-IF(Calculator!$B$10="Yes",MIN(MAX(H877,0),'Tax Tables'!$B$27)*'Tax Tables'!$B$28+MIN(MAX(MAX(H877,0)-'Tax Tables'!$B$27,0),'Tax Tables'!$B$29)*'Tax Tables'!$B$30,MIN(MAX(H877,0),'Tax Tables'!$B$23)*'Tax Tables'!$B$24+MIN(MAX(MAX(H877,0)-'Tax Tables'!$B$23,0),'Tax Tables'!$B$25)*'Tax Tables'!$B$26))*1-MIN('Tax Tables'!$B$22*(MAX(H877,0)-IF(Calculator!$B$10="Yes",MIN(MAX(H877,0),'Tax Tables'!$B$27)*'Tax Tables'!$B$28+MIN(MAX(MAX(H877,0)-'Tax Tables'!$B$27,0),'Tax Tables'!$B$29)*'Tax Tables'!$B$30,MIN(MAX(H877,0),'Tax Tables'!$B$23)*'Tax Tables'!$B$24+MIN(MAX(MAX(H877,0)-'Tax Tables'!$B$23,0),'Tax Tables'!$B$25)*'Tax Tables'!$B$26))*Calculator!$B$11,Calculator!$B$12)</f>
        <v>0</v>
      </c>
      <c r="J877" s="11" t="n">
        <f aca="false">MAX(H877,0)-I877</f>
        <v>0</v>
      </c>
      <c r="K877" s="11" t="n">
        <f aca="false">MIN(IF(A877&gt;0,Calculator!$B$13,0)+E877+Calculator!$B$14,'Tax Tables'!$B$36)</f>
        <v>1000</v>
      </c>
      <c r="L877" s="11" t="n">
        <f aca="false">MAX(A877-K877,0)</f>
        <v>431000</v>
      </c>
      <c r="M877" s="11" t="n">
        <f aca="false">SUMPRODUCT((L877&gt;'Tax Tables'!$A$5:$A$17)*(L877-'Tax Tables'!$A$5:$A$17)*'Tax Tables'!$C$5:$C$17)</f>
        <v>68970</v>
      </c>
      <c r="N877" s="11" t="n">
        <f aca="false">IF(H877&lt;0,-1E+099,A877-E877-M877+J877+(E877+F877)*Calculator!$B$9)</f>
        <v>-1E+099</v>
      </c>
      <c r="O877" s="2"/>
      <c r="P877" s="11" t="n">
        <f aca="false">864*$B$3</f>
        <v>432000</v>
      </c>
      <c r="Q877" s="11" t="n">
        <f aca="false">MIN(P877,'Tax Tables'!$B$31*'Tax Tables'!$B$32)</f>
        <v>96000</v>
      </c>
      <c r="R877" s="11" t="n">
        <f aca="false">P877-Q877</f>
        <v>336000</v>
      </c>
      <c r="S877" s="11" t="n">
        <f aca="false">IF(Calculator!$B$6="Yes",MIN(Q877,'Tax Tables'!$B$31*'Tax Tables'!$B$32),0)</f>
        <v>96000</v>
      </c>
      <c r="T877" s="11" t="n">
        <f aca="false">S877*Calculator!$B$7</f>
        <v>19200</v>
      </c>
      <c r="U877" s="11" t="n">
        <f aca="false">S877*Calculator!$B$8</f>
        <v>16320</v>
      </c>
      <c r="V877" s="11" t="n">
        <f aca="false">IF(Q877&gt;0,'Tax Tables'!$B$32*MIN(MAX(Q877/'Tax Tables'!$B$32*'Tax Tables'!$B$33,'Tax Tables'!$B$34),'Tax Tables'!$B$35),0)</f>
        <v>135</v>
      </c>
      <c r="W877" s="11" t="n">
        <f aca="false">Calculator!$B$5-P877-U877-V877</f>
        <v>-48455</v>
      </c>
      <c r="X877" s="11" t="n">
        <f aca="false">'Tax Tables'!$B$22*(MAX(W877,0)-IF(Calculator!$B$10="Yes",MIN(MAX(W877,0),'Tax Tables'!$B$27)*'Tax Tables'!$B$28+MIN(MAX(MAX(W877,0)-'Tax Tables'!$B$27,0),'Tax Tables'!$B$29)*'Tax Tables'!$B$30,MIN(MAX(W877,0),'Tax Tables'!$B$23)*'Tax Tables'!$B$24+MIN(MAX(MAX(W877,0)-'Tax Tables'!$B$23,0),'Tax Tables'!$B$25)*'Tax Tables'!$B$26))*1-MIN('Tax Tables'!$B$22*(MAX(W877,0)-IF(Calculator!$B$10="Yes",MIN(MAX(W877,0),'Tax Tables'!$B$27)*'Tax Tables'!$B$28+MIN(MAX(MAX(W877,0)-'Tax Tables'!$B$27,0),'Tax Tables'!$B$29)*'Tax Tables'!$B$30,MIN(MAX(W877,0),'Tax Tables'!$B$23)*'Tax Tables'!$B$24+MIN(MAX(MAX(W877,0)-'Tax Tables'!$B$23,0),'Tax Tables'!$B$25)*'Tax Tables'!$B$26))*Calculator!$B$11,Calculator!$B$12)</f>
        <v>0</v>
      </c>
      <c r="Y877" s="11" t="n">
        <f aca="false">MAX(W877,0)-X877</f>
        <v>0</v>
      </c>
      <c r="Z877" s="11" t="n">
        <f aca="false">MIN(IF(P877&gt;0,Calculator!$B$13,0)+T877+Calculator!$B$14,'Tax Tables'!$B$36)</f>
        <v>20200</v>
      </c>
      <c r="AA877" s="11" t="n">
        <f aca="false">MAX(P877-Z877,0)</f>
        <v>411800</v>
      </c>
      <c r="AB877" s="11" t="n">
        <f aca="false">SUMPRODUCT((AA877&gt;'Tax Tables'!$A$5:$A$17)*(AA877-'Tax Tables'!$A$5:$A$17)*'Tax Tables'!$C$5:$C$17)</f>
        <v>64746</v>
      </c>
      <c r="AC877" s="11" t="n">
        <f aca="false">IF(W877&lt;0,-1E+099,P877-T877-AB877+Y877+(T877+U877)*Calculator!$B$9)</f>
        <v>-1E+099</v>
      </c>
    </row>
    <row r="878" customFormat="false" ht="15" hidden="false" customHeight="false" outlineLevel="0" collapsed="false">
      <c r="A878" s="11" t="n">
        <f aca="false">865*$B$3</f>
        <v>432500</v>
      </c>
      <c r="B878" s="11" t="n">
        <f aca="false">0</f>
        <v>0</v>
      </c>
      <c r="C878" s="11" t="n">
        <f aca="false">A878-B878</f>
        <v>432500</v>
      </c>
      <c r="D878" s="11" t="n">
        <f aca="false">IF(Calculator!$B$6="Yes",MIN(B878,'Tax Tables'!$B$31*'Tax Tables'!$B$32),0)</f>
        <v>0</v>
      </c>
      <c r="E878" s="11" t="n">
        <f aca="false">D878*Calculator!$B$7</f>
        <v>0</v>
      </c>
      <c r="F878" s="11" t="n">
        <f aca="false">D878*Calculator!$B$8</f>
        <v>0</v>
      </c>
      <c r="G878" s="11" t="n">
        <f aca="false">IF(B878&gt;0,'Tax Tables'!$B$32*MIN(MAX(B878/'Tax Tables'!$B$32*'Tax Tables'!$B$33,'Tax Tables'!$B$34),'Tax Tables'!$B$35),0)</f>
        <v>0</v>
      </c>
      <c r="H878" s="11" t="n">
        <f aca="false">Calculator!$B$5-A878-F878-G878</f>
        <v>-32500</v>
      </c>
      <c r="I878" s="11" t="n">
        <f aca="false">'Tax Tables'!$B$22*(MAX(H878,0)-IF(Calculator!$B$10="Yes",MIN(MAX(H878,0),'Tax Tables'!$B$27)*'Tax Tables'!$B$28+MIN(MAX(MAX(H878,0)-'Tax Tables'!$B$27,0),'Tax Tables'!$B$29)*'Tax Tables'!$B$30,MIN(MAX(H878,0),'Tax Tables'!$B$23)*'Tax Tables'!$B$24+MIN(MAX(MAX(H878,0)-'Tax Tables'!$B$23,0),'Tax Tables'!$B$25)*'Tax Tables'!$B$26))*1-MIN('Tax Tables'!$B$22*(MAX(H878,0)-IF(Calculator!$B$10="Yes",MIN(MAX(H878,0),'Tax Tables'!$B$27)*'Tax Tables'!$B$28+MIN(MAX(MAX(H878,0)-'Tax Tables'!$B$27,0),'Tax Tables'!$B$29)*'Tax Tables'!$B$30,MIN(MAX(H878,0),'Tax Tables'!$B$23)*'Tax Tables'!$B$24+MIN(MAX(MAX(H878,0)-'Tax Tables'!$B$23,0),'Tax Tables'!$B$25)*'Tax Tables'!$B$26))*Calculator!$B$11,Calculator!$B$12)</f>
        <v>0</v>
      </c>
      <c r="J878" s="11" t="n">
        <f aca="false">MAX(H878,0)-I878</f>
        <v>0</v>
      </c>
      <c r="K878" s="11" t="n">
        <f aca="false">MIN(IF(A878&gt;0,Calculator!$B$13,0)+E878+Calculator!$B$14,'Tax Tables'!$B$36)</f>
        <v>1000</v>
      </c>
      <c r="L878" s="11" t="n">
        <f aca="false">MAX(A878-K878,0)</f>
        <v>431500</v>
      </c>
      <c r="M878" s="11" t="n">
        <f aca="false">SUMPRODUCT((L878&gt;'Tax Tables'!$A$5:$A$17)*(L878-'Tax Tables'!$A$5:$A$17)*'Tax Tables'!$C$5:$C$17)</f>
        <v>69080</v>
      </c>
      <c r="N878" s="11" t="n">
        <f aca="false">IF(H878&lt;0,-1E+099,A878-E878-M878+J878+(E878+F878)*Calculator!$B$9)</f>
        <v>-1E+099</v>
      </c>
      <c r="O878" s="2"/>
      <c r="P878" s="11" t="n">
        <f aca="false">865*$B$3</f>
        <v>432500</v>
      </c>
      <c r="Q878" s="11" t="n">
        <f aca="false">MIN(P878,'Tax Tables'!$B$31*'Tax Tables'!$B$32)</f>
        <v>96000</v>
      </c>
      <c r="R878" s="11" t="n">
        <f aca="false">P878-Q878</f>
        <v>336500</v>
      </c>
      <c r="S878" s="11" t="n">
        <f aca="false">IF(Calculator!$B$6="Yes",MIN(Q878,'Tax Tables'!$B$31*'Tax Tables'!$B$32),0)</f>
        <v>96000</v>
      </c>
      <c r="T878" s="11" t="n">
        <f aca="false">S878*Calculator!$B$7</f>
        <v>19200</v>
      </c>
      <c r="U878" s="11" t="n">
        <f aca="false">S878*Calculator!$B$8</f>
        <v>16320</v>
      </c>
      <c r="V878" s="11" t="n">
        <f aca="false">IF(Q878&gt;0,'Tax Tables'!$B$32*MIN(MAX(Q878/'Tax Tables'!$B$32*'Tax Tables'!$B$33,'Tax Tables'!$B$34),'Tax Tables'!$B$35),0)</f>
        <v>135</v>
      </c>
      <c r="W878" s="11" t="n">
        <f aca="false">Calculator!$B$5-P878-U878-V878</f>
        <v>-48955</v>
      </c>
      <c r="X878" s="11" t="n">
        <f aca="false">'Tax Tables'!$B$22*(MAX(W878,0)-IF(Calculator!$B$10="Yes",MIN(MAX(W878,0),'Tax Tables'!$B$27)*'Tax Tables'!$B$28+MIN(MAX(MAX(W878,0)-'Tax Tables'!$B$27,0),'Tax Tables'!$B$29)*'Tax Tables'!$B$30,MIN(MAX(W878,0),'Tax Tables'!$B$23)*'Tax Tables'!$B$24+MIN(MAX(MAX(W878,0)-'Tax Tables'!$B$23,0),'Tax Tables'!$B$25)*'Tax Tables'!$B$26))*1-MIN('Tax Tables'!$B$22*(MAX(W878,0)-IF(Calculator!$B$10="Yes",MIN(MAX(W878,0),'Tax Tables'!$B$27)*'Tax Tables'!$B$28+MIN(MAX(MAX(W878,0)-'Tax Tables'!$B$27,0),'Tax Tables'!$B$29)*'Tax Tables'!$B$30,MIN(MAX(W878,0),'Tax Tables'!$B$23)*'Tax Tables'!$B$24+MIN(MAX(MAX(W878,0)-'Tax Tables'!$B$23,0),'Tax Tables'!$B$25)*'Tax Tables'!$B$26))*Calculator!$B$11,Calculator!$B$12)</f>
        <v>0</v>
      </c>
      <c r="Y878" s="11" t="n">
        <f aca="false">MAX(W878,0)-X878</f>
        <v>0</v>
      </c>
      <c r="Z878" s="11" t="n">
        <f aca="false">MIN(IF(P878&gt;0,Calculator!$B$13,0)+T878+Calculator!$B$14,'Tax Tables'!$B$36)</f>
        <v>20200</v>
      </c>
      <c r="AA878" s="11" t="n">
        <f aca="false">MAX(P878-Z878,0)</f>
        <v>412300</v>
      </c>
      <c r="AB878" s="11" t="n">
        <f aca="false">SUMPRODUCT((AA878&gt;'Tax Tables'!$A$5:$A$17)*(AA878-'Tax Tables'!$A$5:$A$17)*'Tax Tables'!$C$5:$C$17)</f>
        <v>64856</v>
      </c>
      <c r="AC878" s="11" t="n">
        <f aca="false">IF(W878&lt;0,-1E+099,P878-T878-AB878+Y878+(T878+U878)*Calculator!$B$9)</f>
        <v>-1E+099</v>
      </c>
    </row>
    <row r="879" customFormat="false" ht="15" hidden="false" customHeight="false" outlineLevel="0" collapsed="false">
      <c r="A879" s="11" t="n">
        <f aca="false">866*$B$3</f>
        <v>433000</v>
      </c>
      <c r="B879" s="11" t="n">
        <f aca="false">0</f>
        <v>0</v>
      </c>
      <c r="C879" s="11" t="n">
        <f aca="false">A879-B879</f>
        <v>433000</v>
      </c>
      <c r="D879" s="11" t="n">
        <f aca="false">IF(Calculator!$B$6="Yes",MIN(B879,'Tax Tables'!$B$31*'Tax Tables'!$B$32),0)</f>
        <v>0</v>
      </c>
      <c r="E879" s="11" t="n">
        <f aca="false">D879*Calculator!$B$7</f>
        <v>0</v>
      </c>
      <c r="F879" s="11" t="n">
        <f aca="false">D879*Calculator!$B$8</f>
        <v>0</v>
      </c>
      <c r="G879" s="11" t="n">
        <f aca="false">IF(B879&gt;0,'Tax Tables'!$B$32*MIN(MAX(B879/'Tax Tables'!$B$32*'Tax Tables'!$B$33,'Tax Tables'!$B$34),'Tax Tables'!$B$35),0)</f>
        <v>0</v>
      </c>
      <c r="H879" s="11" t="n">
        <f aca="false">Calculator!$B$5-A879-F879-G879</f>
        <v>-33000</v>
      </c>
      <c r="I879" s="11" t="n">
        <f aca="false">'Tax Tables'!$B$22*(MAX(H879,0)-IF(Calculator!$B$10="Yes",MIN(MAX(H879,0),'Tax Tables'!$B$27)*'Tax Tables'!$B$28+MIN(MAX(MAX(H879,0)-'Tax Tables'!$B$27,0),'Tax Tables'!$B$29)*'Tax Tables'!$B$30,MIN(MAX(H879,0),'Tax Tables'!$B$23)*'Tax Tables'!$B$24+MIN(MAX(MAX(H879,0)-'Tax Tables'!$B$23,0),'Tax Tables'!$B$25)*'Tax Tables'!$B$26))*1-MIN('Tax Tables'!$B$22*(MAX(H879,0)-IF(Calculator!$B$10="Yes",MIN(MAX(H879,0),'Tax Tables'!$B$27)*'Tax Tables'!$B$28+MIN(MAX(MAX(H879,0)-'Tax Tables'!$B$27,0),'Tax Tables'!$B$29)*'Tax Tables'!$B$30,MIN(MAX(H879,0),'Tax Tables'!$B$23)*'Tax Tables'!$B$24+MIN(MAX(MAX(H879,0)-'Tax Tables'!$B$23,0),'Tax Tables'!$B$25)*'Tax Tables'!$B$26))*Calculator!$B$11,Calculator!$B$12)</f>
        <v>0</v>
      </c>
      <c r="J879" s="11" t="n">
        <f aca="false">MAX(H879,0)-I879</f>
        <v>0</v>
      </c>
      <c r="K879" s="11" t="n">
        <f aca="false">MIN(IF(A879&gt;0,Calculator!$B$13,0)+E879+Calculator!$B$14,'Tax Tables'!$B$36)</f>
        <v>1000</v>
      </c>
      <c r="L879" s="11" t="n">
        <f aca="false">MAX(A879-K879,0)</f>
        <v>432000</v>
      </c>
      <c r="M879" s="11" t="n">
        <f aca="false">SUMPRODUCT((L879&gt;'Tax Tables'!$A$5:$A$17)*(L879-'Tax Tables'!$A$5:$A$17)*'Tax Tables'!$C$5:$C$17)</f>
        <v>69190</v>
      </c>
      <c r="N879" s="11" t="n">
        <f aca="false">IF(H879&lt;0,-1E+099,A879-E879-M879+J879+(E879+F879)*Calculator!$B$9)</f>
        <v>-1E+099</v>
      </c>
      <c r="O879" s="2"/>
      <c r="P879" s="11" t="n">
        <f aca="false">866*$B$3</f>
        <v>433000</v>
      </c>
      <c r="Q879" s="11" t="n">
        <f aca="false">MIN(P879,'Tax Tables'!$B$31*'Tax Tables'!$B$32)</f>
        <v>96000</v>
      </c>
      <c r="R879" s="11" t="n">
        <f aca="false">P879-Q879</f>
        <v>337000</v>
      </c>
      <c r="S879" s="11" t="n">
        <f aca="false">IF(Calculator!$B$6="Yes",MIN(Q879,'Tax Tables'!$B$31*'Tax Tables'!$B$32),0)</f>
        <v>96000</v>
      </c>
      <c r="T879" s="11" t="n">
        <f aca="false">S879*Calculator!$B$7</f>
        <v>19200</v>
      </c>
      <c r="U879" s="11" t="n">
        <f aca="false">S879*Calculator!$B$8</f>
        <v>16320</v>
      </c>
      <c r="V879" s="11" t="n">
        <f aca="false">IF(Q879&gt;0,'Tax Tables'!$B$32*MIN(MAX(Q879/'Tax Tables'!$B$32*'Tax Tables'!$B$33,'Tax Tables'!$B$34),'Tax Tables'!$B$35),0)</f>
        <v>135</v>
      </c>
      <c r="W879" s="11" t="n">
        <f aca="false">Calculator!$B$5-P879-U879-V879</f>
        <v>-49455</v>
      </c>
      <c r="X879" s="11" t="n">
        <f aca="false">'Tax Tables'!$B$22*(MAX(W879,0)-IF(Calculator!$B$10="Yes",MIN(MAX(W879,0),'Tax Tables'!$B$27)*'Tax Tables'!$B$28+MIN(MAX(MAX(W879,0)-'Tax Tables'!$B$27,0),'Tax Tables'!$B$29)*'Tax Tables'!$B$30,MIN(MAX(W879,0),'Tax Tables'!$B$23)*'Tax Tables'!$B$24+MIN(MAX(MAX(W879,0)-'Tax Tables'!$B$23,0),'Tax Tables'!$B$25)*'Tax Tables'!$B$26))*1-MIN('Tax Tables'!$B$22*(MAX(W879,0)-IF(Calculator!$B$10="Yes",MIN(MAX(W879,0),'Tax Tables'!$B$27)*'Tax Tables'!$B$28+MIN(MAX(MAX(W879,0)-'Tax Tables'!$B$27,0),'Tax Tables'!$B$29)*'Tax Tables'!$B$30,MIN(MAX(W879,0),'Tax Tables'!$B$23)*'Tax Tables'!$B$24+MIN(MAX(MAX(W879,0)-'Tax Tables'!$B$23,0),'Tax Tables'!$B$25)*'Tax Tables'!$B$26))*Calculator!$B$11,Calculator!$B$12)</f>
        <v>0</v>
      </c>
      <c r="Y879" s="11" t="n">
        <f aca="false">MAX(W879,0)-X879</f>
        <v>0</v>
      </c>
      <c r="Z879" s="11" t="n">
        <f aca="false">MIN(IF(P879&gt;0,Calculator!$B$13,0)+T879+Calculator!$B$14,'Tax Tables'!$B$36)</f>
        <v>20200</v>
      </c>
      <c r="AA879" s="11" t="n">
        <f aca="false">MAX(P879-Z879,0)</f>
        <v>412800</v>
      </c>
      <c r="AB879" s="11" t="n">
        <f aca="false">SUMPRODUCT((AA879&gt;'Tax Tables'!$A$5:$A$17)*(AA879-'Tax Tables'!$A$5:$A$17)*'Tax Tables'!$C$5:$C$17)</f>
        <v>64966</v>
      </c>
      <c r="AC879" s="11" t="n">
        <f aca="false">IF(W879&lt;0,-1E+099,P879-T879-AB879+Y879+(T879+U879)*Calculator!$B$9)</f>
        <v>-1E+099</v>
      </c>
    </row>
    <row r="880" customFormat="false" ht="15" hidden="false" customHeight="false" outlineLevel="0" collapsed="false">
      <c r="A880" s="11" t="n">
        <f aca="false">867*$B$3</f>
        <v>433500</v>
      </c>
      <c r="B880" s="11" t="n">
        <f aca="false">0</f>
        <v>0</v>
      </c>
      <c r="C880" s="11" t="n">
        <f aca="false">A880-B880</f>
        <v>433500</v>
      </c>
      <c r="D880" s="11" t="n">
        <f aca="false">IF(Calculator!$B$6="Yes",MIN(B880,'Tax Tables'!$B$31*'Tax Tables'!$B$32),0)</f>
        <v>0</v>
      </c>
      <c r="E880" s="11" t="n">
        <f aca="false">D880*Calculator!$B$7</f>
        <v>0</v>
      </c>
      <c r="F880" s="11" t="n">
        <f aca="false">D880*Calculator!$B$8</f>
        <v>0</v>
      </c>
      <c r="G880" s="11" t="n">
        <f aca="false">IF(B880&gt;0,'Tax Tables'!$B$32*MIN(MAX(B880/'Tax Tables'!$B$32*'Tax Tables'!$B$33,'Tax Tables'!$B$34),'Tax Tables'!$B$35),0)</f>
        <v>0</v>
      </c>
      <c r="H880" s="11" t="n">
        <f aca="false">Calculator!$B$5-A880-F880-G880</f>
        <v>-33500</v>
      </c>
      <c r="I880" s="11" t="n">
        <f aca="false">'Tax Tables'!$B$22*(MAX(H880,0)-IF(Calculator!$B$10="Yes",MIN(MAX(H880,0),'Tax Tables'!$B$27)*'Tax Tables'!$B$28+MIN(MAX(MAX(H880,0)-'Tax Tables'!$B$27,0),'Tax Tables'!$B$29)*'Tax Tables'!$B$30,MIN(MAX(H880,0),'Tax Tables'!$B$23)*'Tax Tables'!$B$24+MIN(MAX(MAX(H880,0)-'Tax Tables'!$B$23,0),'Tax Tables'!$B$25)*'Tax Tables'!$B$26))*1-MIN('Tax Tables'!$B$22*(MAX(H880,0)-IF(Calculator!$B$10="Yes",MIN(MAX(H880,0),'Tax Tables'!$B$27)*'Tax Tables'!$B$28+MIN(MAX(MAX(H880,0)-'Tax Tables'!$B$27,0),'Tax Tables'!$B$29)*'Tax Tables'!$B$30,MIN(MAX(H880,0),'Tax Tables'!$B$23)*'Tax Tables'!$B$24+MIN(MAX(MAX(H880,0)-'Tax Tables'!$B$23,0),'Tax Tables'!$B$25)*'Tax Tables'!$B$26))*Calculator!$B$11,Calculator!$B$12)</f>
        <v>0</v>
      </c>
      <c r="J880" s="11" t="n">
        <f aca="false">MAX(H880,0)-I880</f>
        <v>0</v>
      </c>
      <c r="K880" s="11" t="n">
        <f aca="false">MIN(IF(A880&gt;0,Calculator!$B$13,0)+E880+Calculator!$B$14,'Tax Tables'!$B$36)</f>
        <v>1000</v>
      </c>
      <c r="L880" s="11" t="n">
        <f aca="false">MAX(A880-K880,0)</f>
        <v>432500</v>
      </c>
      <c r="M880" s="11" t="n">
        <f aca="false">SUMPRODUCT((L880&gt;'Tax Tables'!$A$5:$A$17)*(L880-'Tax Tables'!$A$5:$A$17)*'Tax Tables'!$C$5:$C$17)</f>
        <v>69300</v>
      </c>
      <c r="N880" s="11" t="n">
        <f aca="false">IF(H880&lt;0,-1E+099,A880-E880-M880+J880+(E880+F880)*Calculator!$B$9)</f>
        <v>-1E+099</v>
      </c>
      <c r="O880" s="2"/>
      <c r="P880" s="11" t="n">
        <f aca="false">867*$B$3</f>
        <v>433500</v>
      </c>
      <c r="Q880" s="11" t="n">
        <f aca="false">MIN(P880,'Tax Tables'!$B$31*'Tax Tables'!$B$32)</f>
        <v>96000</v>
      </c>
      <c r="R880" s="11" t="n">
        <f aca="false">P880-Q880</f>
        <v>337500</v>
      </c>
      <c r="S880" s="11" t="n">
        <f aca="false">IF(Calculator!$B$6="Yes",MIN(Q880,'Tax Tables'!$B$31*'Tax Tables'!$B$32),0)</f>
        <v>96000</v>
      </c>
      <c r="T880" s="11" t="n">
        <f aca="false">S880*Calculator!$B$7</f>
        <v>19200</v>
      </c>
      <c r="U880" s="11" t="n">
        <f aca="false">S880*Calculator!$B$8</f>
        <v>16320</v>
      </c>
      <c r="V880" s="11" t="n">
        <f aca="false">IF(Q880&gt;0,'Tax Tables'!$B$32*MIN(MAX(Q880/'Tax Tables'!$B$32*'Tax Tables'!$B$33,'Tax Tables'!$B$34),'Tax Tables'!$B$35),0)</f>
        <v>135</v>
      </c>
      <c r="W880" s="11" t="n">
        <f aca="false">Calculator!$B$5-P880-U880-V880</f>
        <v>-49955</v>
      </c>
      <c r="X880" s="11" t="n">
        <f aca="false">'Tax Tables'!$B$22*(MAX(W880,0)-IF(Calculator!$B$10="Yes",MIN(MAX(W880,0),'Tax Tables'!$B$27)*'Tax Tables'!$B$28+MIN(MAX(MAX(W880,0)-'Tax Tables'!$B$27,0),'Tax Tables'!$B$29)*'Tax Tables'!$B$30,MIN(MAX(W880,0),'Tax Tables'!$B$23)*'Tax Tables'!$B$24+MIN(MAX(MAX(W880,0)-'Tax Tables'!$B$23,0),'Tax Tables'!$B$25)*'Tax Tables'!$B$26))*1-MIN('Tax Tables'!$B$22*(MAX(W880,0)-IF(Calculator!$B$10="Yes",MIN(MAX(W880,0),'Tax Tables'!$B$27)*'Tax Tables'!$B$28+MIN(MAX(MAX(W880,0)-'Tax Tables'!$B$27,0),'Tax Tables'!$B$29)*'Tax Tables'!$B$30,MIN(MAX(W880,0),'Tax Tables'!$B$23)*'Tax Tables'!$B$24+MIN(MAX(MAX(W880,0)-'Tax Tables'!$B$23,0),'Tax Tables'!$B$25)*'Tax Tables'!$B$26))*Calculator!$B$11,Calculator!$B$12)</f>
        <v>0</v>
      </c>
      <c r="Y880" s="11" t="n">
        <f aca="false">MAX(W880,0)-X880</f>
        <v>0</v>
      </c>
      <c r="Z880" s="11" t="n">
        <f aca="false">MIN(IF(P880&gt;0,Calculator!$B$13,0)+T880+Calculator!$B$14,'Tax Tables'!$B$36)</f>
        <v>20200</v>
      </c>
      <c r="AA880" s="11" t="n">
        <f aca="false">MAX(P880-Z880,0)</f>
        <v>413300</v>
      </c>
      <c r="AB880" s="11" t="n">
        <f aca="false">SUMPRODUCT((AA880&gt;'Tax Tables'!$A$5:$A$17)*(AA880-'Tax Tables'!$A$5:$A$17)*'Tax Tables'!$C$5:$C$17)</f>
        <v>65076</v>
      </c>
      <c r="AC880" s="11" t="n">
        <f aca="false">IF(W880&lt;0,-1E+099,P880-T880-AB880+Y880+(T880+U880)*Calculator!$B$9)</f>
        <v>-1E+099</v>
      </c>
    </row>
    <row r="881" customFormat="false" ht="15" hidden="false" customHeight="false" outlineLevel="0" collapsed="false">
      <c r="A881" s="11" t="n">
        <f aca="false">868*$B$3</f>
        <v>434000</v>
      </c>
      <c r="B881" s="11" t="n">
        <f aca="false">0</f>
        <v>0</v>
      </c>
      <c r="C881" s="11" t="n">
        <f aca="false">A881-B881</f>
        <v>434000</v>
      </c>
      <c r="D881" s="11" t="n">
        <f aca="false">IF(Calculator!$B$6="Yes",MIN(B881,'Tax Tables'!$B$31*'Tax Tables'!$B$32),0)</f>
        <v>0</v>
      </c>
      <c r="E881" s="11" t="n">
        <f aca="false">D881*Calculator!$B$7</f>
        <v>0</v>
      </c>
      <c r="F881" s="11" t="n">
        <f aca="false">D881*Calculator!$B$8</f>
        <v>0</v>
      </c>
      <c r="G881" s="11" t="n">
        <f aca="false">IF(B881&gt;0,'Tax Tables'!$B$32*MIN(MAX(B881/'Tax Tables'!$B$32*'Tax Tables'!$B$33,'Tax Tables'!$B$34),'Tax Tables'!$B$35),0)</f>
        <v>0</v>
      </c>
      <c r="H881" s="11" t="n">
        <f aca="false">Calculator!$B$5-A881-F881-G881</f>
        <v>-34000</v>
      </c>
      <c r="I881" s="11" t="n">
        <f aca="false">'Tax Tables'!$B$22*(MAX(H881,0)-IF(Calculator!$B$10="Yes",MIN(MAX(H881,0),'Tax Tables'!$B$27)*'Tax Tables'!$B$28+MIN(MAX(MAX(H881,0)-'Tax Tables'!$B$27,0),'Tax Tables'!$B$29)*'Tax Tables'!$B$30,MIN(MAX(H881,0),'Tax Tables'!$B$23)*'Tax Tables'!$B$24+MIN(MAX(MAX(H881,0)-'Tax Tables'!$B$23,0),'Tax Tables'!$B$25)*'Tax Tables'!$B$26))*1-MIN('Tax Tables'!$B$22*(MAX(H881,0)-IF(Calculator!$B$10="Yes",MIN(MAX(H881,0),'Tax Tables'!$B$27)*'Tax Tables'!$B$28+MIN(MAX(MAX(H881,0)-'Tax Tables'!$B$27,0),'Tax Tables'!$B$29)*'Tax Tables'!$B$30,MIN(MAX(H881,0),'Tax Tables'!$B$23)*'Tax Tables'!$B$24+MIN(MAX(MAX(H881,0)-'Tax Tables'!$B$23,0),'Tax Tables'!$B$25)*'Tax Tables'!$B$26))*Calculator!$B$11,Calculator!$B$12)</f>
        <v>0</v>
      </c>
      <c r="J881" s="11" t="n">
        <f aca="false">MAX(H881,0)-I881</f>
        <v>0</v>
      </c>
      <c r="K881" s="11" t="n">
        <f aca="false">MIN(IF(A881&gt;0,Calculator!$B$13,0)+E881+Calculator!$B$14,'Tax Tables'!$B$36)</f>
        <v>1000</v>
      </c>
      <c r="L881" s="11" t="n">
        <f aca="false">MAX(A881-K881,0)</f>
        <v>433000</v>
      </c>
      <c r="M881" s="11" t="n">
        <f aca="false">SUMPRODUCT((L881&gt;'Tax Tables'!$A$5:$A$17)*(L881-'Tax Tables'!$A$5:$A$17)*'Tax Tables'!$C$5:$C$17)</f>
        <v>69410</v>
      </c>
      <c r="N881" s="11" t="n">
        <f aca="false">IF(H881&lt;0,-1E+099,A881-E881-M881+J881+(E881+F881)*Calculator!$B$9)</f>
        <v>-1E+099</v>
      </c>
      <c r="O881" s="2"/>
      <c r="P881" s="11" t="n">
        <f aca="false">868*$B$3</f>
        <v>434000</v>
      </c>
      <c r="Q881" s="11" t="n">
        <f aca="false">MIN(P881,'Tax Tables'!$B$31*'Tax Tables'!$B$32)</f>
        <v>96000</v>
      </c>
      <c r="R881" s="11" t="n">
        <f aca="false">P881-Q881</f>
        <v>338000</v>
      </c>
      <c r="S881" s="11" t="n">
        <f aca="false">IF(Calculator!$B$6="Yes",MIN(Q881,'Tax Tables'!$B$31*'Tax Tables'!$B$32),0)</f>
        <v>96000</v>
      </c>
      <c r="T881" s="11" t="n">
        <f aca="false">S881*Calculator!$B$7</f>
        <v>19200</v>
      </c>
      <c r="U881" s="11" t="n">
        <f aca="false">S881*Calculator!$B$8</f>
        <v>16320</v>
      </c>
      <c r="V881" s="11" t="n">
        <f aca="false">IF(Q881&gt;0,'Tax Tables'!$B$32*MIN(MAX(Q881/'Tax Tables'!$B$32*'Tax Tables'!$B$33,'Tax Tables'!$B$34),'Tax Tables'!$B$35),0)</f>
        <v>135</v>
      </c>
      <c r="W881" s="11" t="n">
        <f aca="false">Calculator!$B$5-P881-U881-V881</f>
        <v>-50455</v>
      </c>
      <c r="X881" s="11" t="n">
        <f aca="false">'Tax Tables'!$B$22*(MAX(W881,0)-IF(Calculator!$B$10="Yes",MIN(MAX(W881,0),'Tax Tables'!$B$27)*'Tax Tables'!$B$28+MIN(MAX(MAX(W881,0)-'Tax Tables'!$B$27,0),'Tax Tables'!$B$29)*'Tax Tables'!$B$30,MIN(MAX(W881,0),'Tax Tables'!$B$23)*'Tax Tables'!$B$24+MIN(MAX(MAX(W881,0)-'Tax Tables'!$B$23,0),'Tax Tables'!$B$25)*'Tax Tables'!$B$26))*1-MIN('Tax Tables'!$B$22*(MAX(W881,0)-IF(Calculator!$B$10="Yes",MIN(MAX(W881,0),'Tax Tables'!$B$27)*'Tax Tables'!$B$28+MIN(MAX(MAX(W881,0)-'Tax Tables'!$B$27,0),'Tax Tables'!$B$29)*'Tax Tables'!$B$30,MIN(MAX(W881,0),'Tax Tables'!$B$23)*'Tax Tables'!$B$24+MIN(MAX(MAX(W881,0)-'Tax Tables'!$B$23,0),'Tax Tables'!$B$25)*'Tax Tables'!$B$26))*Calculator!$B$11,Calculator!$B$12)</f>
        <v>0</v>
      </c>
      <c r="Y881" s="11" t="n">
        <f aca="false">MAX(W881,0)-X881</f>
        <v>0</v>
      </c>
      <c r="Z881" s="11" t="n">
        <f aca="false">MIN(IF(P881&gt;0,Calculator!$B$13,0)+T881+Calculator!$B$14,'Tax Tables'!$B$36)</f>
        <v>20200</v>
      </c>
      <c r="AA881" s="11" t="n">
        <f aca="false">MAX(P881-Z881,0)</f>
        <v>413800</v>
      </c>
      <c r="AB881" s="11" t="n">
        <f aca="false">SUMPRODUCT((AA881&gt;'Tax Tables'!$A$5:$A$17)*(AA881-'Tax Tables'!$A$5:$A$17)*'Tax Tables'!$C$5:$C$17)</f>
        <v>65186</v>
      </c>
      <c r="AC881" s="11" t="n">
        <f aca="false">IF(W881&lt;0,-1E+099,P881-T881-AB881+Y881+(T881+U881)*Calculator!$B$9)</f>
        <v>-1E+099</v>
      </c>
    </row>
    <row r="882" customFormat="false" ht="15" hidden="false" customHeight="false" outlineLevel="0" collapsed="false">
      <c r="A882" s="11" t="n">
        <f aca="false">869*$B$3</f>
        <v>434500</v>
      </c>
      <c r="B882" s="11" t="n">
        <f aca="false">0</f>
        <v>0</v>
      </c>
      <c r="C882" s="11" t="n">
        <f aca="false">A882-B882</f>
        <v>434500</v>
      </c>
      <c r="D882" s="11" t="n">
        <f aca="false">IF(Calculator!$B$6="Yes",MIN(B882,'Tax Tables'!$B$31*'Tax Tables'!$B$32),0)</f>
        <v>0</v>
      </c>
      <c r="E882" s="11" t="n">
        <f aca="false">D882*Calculator!$B$7</f>
        <v>0</v>
      </c>
      <c r="F882" s="11" t="n">
        <f aca="false">D882*Calculator!$B$8</f>
        <v>0</v>
      </c>
      <c r="G882" s="11" t="n">
        <f aca="false">IF(B882&gt;0,'Tax Tables'!$B$32*MIN(MAX(B882/'Tax Tables'!$B$32*'Tax Tables'!$B$33,'Tax Tables'!$B$34),'Tax Tables'!$B$35),0)</f>
        <v>0</v>
      </c>
      <c r="H882" s="11" t="n">
        <f aca="false">Calculator!$B$5-A882-F882-G882</f>
        <v>-34500</v>
      </c>
      <c r="I882" s="11" t="n">
        <f aca="false">'Tax Tables'!$B$22*(MAX(H882,0)-IF(Calculator!$B$10="Yes",MIN(MAX(H882,0),'Tax Tables'!$B$27)*'Tax Tables'!$B$28+MIN(MAX(MAX(H882,0)-'Tax Tables'!$B$27,0),'Tax Tables'!$B$29)*'Tax Tables'!$B$30,MIN(MAX(H882,0),'Tax Tables'!$B$23)*'Tax Tables'!$B$24+MIN(MAX(MAX(H882,0)-'Tax Tables'!$B$23,0),'Tax Tables'!$B$25)*'Tax Tables'!$B$26))*1-MIN('Tax Tables'!$B$22*(MAX(H882,0)-IF(Calculator!$B$10="Yes",MIN(MAX(H882,0),'Tax Tables'!$B$27)*'Tax Tables'!$B$28+MIN(MAX(MAX(H882,0)-'Tax Tables'!$B$27,0),'Tax Tables'!$B$29)*'Tax Tables'!$B$30,MIN(MAX(H882,0),'Tax Tables'!$B$23)*'Tax Tables'!$B$24+MIN(MAX(MAX(H882,0)-'Tax Tables'!$B$23,0),'Tax Tables'!$B$25)*'Tax Tables'!$B$26))*Calculator!$B$11,Calculator!$B$12)</f>
        <v>0</v>
      </c>
      <c r="J882" s="11" t="n">
        <f aca="false">MAX(H882,0)-I882</f>
        <v>0</v>
      </c>
      <c r="K882" s="11" t="n">
        <f aca="false">MIN(IF(A882&gt;0,Calculator!$B$13,0)+E882+Calculator!$B$14,'Tax Tables'!$B$36)</f>
        <v>1000</v>
      </c>
      <c r="L882" s="11" t="n">
        <f aca="false">MAX(A882-K882,0)</f>
        <v>433500</v>
      </c>
      <c r="M882" s="11" t="n">
        <f aca="false">SUMPRODUCT((L882&gt;'Tax Tables'!$A$5:$A$17)*(L882-'Tax Tables'!$A$5:$A$17)*'Tax Tables'!$C$5:$C$17)</f>
        <v>69520</v>
      </c>
      <c r="N882" s="11" t="n">
        <f aca="false">IF(H882&lt;0,-1E+099,A882-E882-M882+J882+(E882+F882)*Calculator!$B$9)</f>
        <v>-1E+099</v>
      </c>
      <c r="O882" s="2"/>
      <c r="P882" s="11" t="n">
        <f aca="false">869*$B$3</f>
        <v>434500</v>
      </c>
      <c r="Q882" s="11" t="n">
        <f aca="false">MIN(P882,'Tax Tables'!$B$31*'Tax Tables'!$B$32)</f>
        <v>96000</v>
      </c>
      <c r="R882" s="11" t="n">
        <f aca="false">P882-Q882</f>
        <v>338500</v>
      </c>
      <c r="S882" s="11" t="n">
        <f aca="false">IF(Calculator!$B$6="Yes",MIN(Q882,'Tax Tables'!$B$31*'Tax Tables'!$B$32),0)</f>
        <v>96000</v>
      </c>
      <c r="T882" s="11" t="n">
        <f aca="false">S882*Calculator!$B$7</f>
        <v>19200</v>
      </c>
      <c r="U882" s="11" t="n">
        <f aca="false">S882*Calculator!$B$8</f>
        <v>16320</v>
      </c>
      <c r="V882" s="11" t="n">
        <f aca="false">IF(Q882&gt;0,'Tax Tables'!$B$32*MIN(MAX(Q882/'Tax Tables'!$B$32*'Tax Tables'!$B$33,'Tax Tables'!$B$34),'Tax Tables'!$B$35),0)</f>
        <v>135</v>
      </c>
      <c r="W882" s="11" t="n">
        <f aca="false">Calculator!$B$5-P882-U882-V882</f>
        <v>-50955</v>
      </c>
      <c r="X882" s="11" t="n">
        <f aca="false">'Tax Tables'!$B$22*(MAX(W882,0)-IF(Calculator!$B$10="Yes",MIN(MAX(W882,0),'Tax Tables'!$B$27)*'Tax Tables'!$B$28+MIN(MAX(MAX(W882,0)-'Tax Tables'!$B$27,0),'Tax Tables'!$B$29)*'Tax Tables'!$B$30,MIN(MAX(W882,0),'Tax Tables'!$B$23)*'Tax Tables'!$B$24+MIN(MAX(MAX(W882,0)-'Tax Tables'!$B$23,0),'Tax Tables'!$B$25)*'Tax Tables'!$B$26))*1-MIN('Tax Tables'!$B$22*(MAX(W882,0)-IF(Calculator!$B$10="Yes",MIN(MAX(W882,0),'Tax Tables'!$B$27)*'Tax Tables'!$B$28+MIN(MAX(MAX(W882,0)-'Tax Tables'!$B$27,0),'Tax Tables'!$B$29)*'Tax Tables'!$B$30,MIN(MAX(W882,0),'Tax Tables'!$B$23)*'Tax Tables'!$B$24+MIN(MAX(MAX(W882,0)-'Tax Tables'!$B$23,0),'Tax Tables'!$B$25)*'Tax Tables'!$B$26))*Calculator!$B$11,Calculator!$B$12)</f>
        <v>0</v>
      </c>
      <c r="Y882" s="11" t="n">
        <f aca="false">MAX(W882,0)-X882</f>
        <v>0</v>
      </c>
      <c r="Z882" s="11" t="n">
        <f aca="false">MIN(IF(P882&gt;0,Calculator!$B$13,0)+T882+Calculator!$B$14,'Tax Tables'!$B$36)</f>
        <v>20200</v>
      </c>
      <c r="AA882" s="11" t="n">
        <f aca="false">MAX(P882-Z882,0)</f>
        <v>414300</v>
      </c>
      <c r="AB882" s="11" t="n">
        <f aca="false">SUMPRODUCT((AA882&gt;'Tax Tables'!$A$5:$A$17)*(AA882-'Tax Tables'!$A$5:$A$17)*'Tax Tables'!$C$5:$C$17)</f>
        <v>65296</v>
      </c>
      <c r="AC882" s="11" t="n">
        <f aca="false">IF(W882&lt;0,-1E+099,P882-T882-AB882+Y882+(T882+U882)*Calculator!$B$9)</f>
        <v>-1E+099</v>
      </c>
    </row>
    <row r="883" customFormat="false" ht="15" hidden="false" customHeight="false" outlineLevel="0" collapsed="false">
      <c r="A883" s="11" t="n">
        <f aca="false">870*$B$3</f>
        <v>435000</v>
      </c>
      <c r="B883" s="11" t="n">
        <f aca="false">0</f>
        <v>0</v>
      </c>
      <c r="C883" s="11" t="n">
        <f aca="false">A883-B883</f>
        <v>435000</v>
      </c>
      <c r="D883" s="11" t="n">
        <f aca="false">IF(Calculator!$B$6="Yes",MIN(B883,'Tax Tables'!$B$31*'Tax Tables'!$B$32),0)</f>
        <v>0</v>
      </c>
      <c r="E883" s="11" t="n">
        <f aca="false">D883*Calculator!$B$7</f>
        <v>0</v>
      </c>
      <c r="F883" s="11" t="n">
        <f aca="false">D883*Calculator!$B$8</f>
        <v>0</v>
      </c>
      <c r="G883" s="11" t="n">
        <f aca="false">IF(B883&gt;0,'Tax Tables'!$B$32*MIN(MAX(B883/'Tax Tables'!$B$32*'Tax Tables'!$B$33,'Tax Tables'!$B$34),'Tax Tables'!$B$35),0)</f>
        <v>0</v>
      </c>
      <c r="H883" s="11" t="n">
        <f aca="false">Calculator!$B$5-A883-F883-G883</f>
        <v>-35000</v>
      </c>
      <c r="I883" s="11" t="n">
        <f aca="false">'Tax Tables'!$B$22*(MAX(H883,0)-IF(Calculator!$B$10="Yes",MIN(MAX(H883,0),'Tax Tables'!$B$27)*'Tax Tables'!$B$28+MIN(MAX(MAX(H883,0)-'Tax Tables'!$B$27,0),'Tax Tables'!$B$29)*'Tax Tables'!$B$30,MIN(MAX(H883,0),'Tax Tables'!$B$23)*'Tax Tables'!$B$24+MIN(MAX(MAX(H883,0)-'Tax Tables'!$B$23,0),'Tax Tables'!$B$25)*'Tax Tables'!$B$26))*1-MIN('Tax Tables'!$B$22*(MAX(H883,0)-IF(Calculator!$B$10="Yes",MIN(MAX(H883,0),'Tax Tables'!$B$27)*'Tax Tables'!$B$28+MIN(MAX(MAX(H883,0)-'Tax Tables'!$B$27,0),'Tax Tables'!$B$29)*'Tax Tables'!$B$30,MIN(MAX(H883,0),'Tax Tables'!$B$23)*'Tax Tables'!$B$24+MIN(MAX(MAX(H883,0)-'Tax Tables'!$B$23,0),'Tax Tables'!$B$25)*'Tax Tables'!$B$26))*Calculator!$B$11,Calculator!$B$12)</f>
        <v>0</v>
      </c>
      <c r="J883" s="11" t="n">
        <f aca="false">MAX(H883,0)-I883</f>
        <v>0</v>
      </c>
      <c r="K883" s="11" t="n">
        <f aca="false">MIN(IF(A883&gt;0,Calculator!$B$13,0)+E883+Calculator!$B$14,'Tax Tables'!$B$36)</f>
        <v>1000</v>
      </c>
      <c r="L883" s="11" t="n">
        <f aca="false">MAX(A883-K883,0)</f>
        <v>434000</v>
      </c>
      <c r="M883" s="11" t="n">
        <f aca="false">SUMPRODUCT((L883&gt;'Tax Tables'!$A$5:$A$17)*(L883-'Tax Tables'!$A$5:$A$17)*'Tax Tables'!$C$5:$C$17)</f>
        <v>69630</v>
      </c>
      <c r="N883" s="11" t="n">
        <f aca="false">IF(H883&lt;0,-1E+099,A883-E883-M883+J883+(E883+F883)*Calculator!$B$9)</f>
        <v>-1E+099</v>
      </c>
      <c r="O883" s="2"/>
      <c r="P883" s="11" t="n">
        <f aca="false">870*$B$3</f>
        <v>435000</v>
      </c>
      <c r="Q883" s="11" t="n">
        <f aca="false">MIN(P883,'Tax Tables'!$B$31*'Tax Tables'!$B$32)</f>
        <v>96000</v>
      </c>
      <c r="R883" s="11" t="n">
        <f aca="false">P883-Q883</f>
        <v>339000</v>
      </c>
      <c r="S883" s="11" t="n">
        <f aca="false">IF(Calculator!$B$6="Yes",MIN(Q883,'Tax Tables'!$B$31*'Tax Tables'!$B$32),0)</f>
        <v>96000</v>
      </c>
      <c r="T883" s="11" t="n">
        <f aca="false">S883*Calculator!$B$7</f>
        <v>19200</v>
      </c>
      <c r="U883" s="11" t="n">
        <f aca="false">S883*Calculator!$B$8</f>
        <v>16320</v>
      </c>
      <c r="V883" s="11" t="n">
        <f aca="false">IF(Q883&gt;0,'Tax Tables'!$B$32*MIN(MAX(Q883/'Tax Tables'!$B$32*'Tax Tables'!$B$33,'Tax Tables'!$B$34),'Tax Tables'!$B$35),0)</f>
        <v>135</v>
      </c>
      <c r="W883" s="11" t="n">
        <f aca="false">Calculator!$B$5-P883-U883-V883</f>
        <v>-51455</v>
      </c>
      <c r="X883" s="11" t="n">
        <f aca="false">'Tax Tables'!$B$22*(MAX(W883,0)-IF(Calculator!$B$10="Yes",MIN(MAX(W883,0),'Tax Tables'!$B$27)*'Tax Tables'!$B$28+MIN(MAX(MAX(W883,0)-'Tax Tables'!$B$27,0),'Tax Tables'!$B$29)*'Tax Tables'!$B$30,MIN(MAX(W883,0),'Tax Tables'!$B$23)*'Tax Tables'!$B$24+MIN(MAX(MAX(W883,0)-'Tax Tables'!$B$23,0),'Tax Tables'!$B$25)*'Tax Tables'!$B$26))*1-MIN('Tax Tables'!$B$22*(MAX(W883,0)-IF(Calculator!$B$10="Yes",MIN(MAX(W883,0),'Tax Tables'!$B$27)*'Tax Tables'!$B$28+MIN(MAX(MAX(W883,0)-'Tax Tables'!$B$27,0),'Tax Tables'!$B$29)*'Tax Tables'!$B$30,MIN(MAX(W883,0),'Tax Tables'!$B$23)*'Tax Tables'!$B$24+MIN(MAX(MAX(W883,0)-'Tax Tables'!$B$23,0),'Tax Tables'!$B$25)*'Tax Tables'!$B$26))*Calculator!$B$11,Calculator!$B$12)</f>
        <v>0</v>
      </c>
      <c r="Y883" s="11" t="n">
        <f aca="false">MAX(W883,0)-X883</f>
        <v>0</v>
      </c>
      <c r="Z883" s="11" t="n">
        <f aca="false">MIN(IF(P883&gt;0,Calculator!$B$13,0)+T883+Calculator!$B$14,'Tax Tables'!$B$36)</f>
        <v>20200</v>
      </c>
      <c r="AA883" s="11" t="n">
        <f aca="false">MAX(P883-Z883,0)</f>
        <v>414800</v>
      </c>
      <c r="AB883" s="11" t="n">
        <f aca="false">SUMPRODUCT((AA883&gt;'Tax Tables'!$A$5:$A$17)*(AA883-'Tax Tables'!$A$5:$A$17)*'Tax Tables'!$C$5:$C$17)</f>
        <v>65406</v>
      </c>
      <c r="AC883" s="11" t="n">
        <f aca="false">IF(W883&lt;0,-1E+099,P883-T883-AB883+Y883+(T883+U883)*Calculator!$B$9)</f>
        <v>-1E+099</v>
      </c>
    </row>
    <row r="884" customFormat="false" ht="15" hidden="false" customHeight="false" outlineLevel="0" collapsed="false">
      <c r="A884" s="11" t="n">
        <f aca="false">871*$B$3</f>
        <v>435500</v>
      </c>
      <c r="B884" s="11" t="n">
        <f aca="false">0</f>
        <v>0</v>
      </c>
      <c r="C884" s="11" t="n">
        <f aca="false">A884-B884</f>
        <v>435500</v>
      </c>
      <c r="D884" s="11" t="n">
        <f aca="false">IF(Calculator!$B$6="Yes",MIN(B884,'Tax Tables'!$B$31*'Tax Tables'!$B$32),0)</f>
        <v>0</v>
      </c>
      <c r="E884" s="11" t="n">
        <f aca="false">D884*Calculator!$B$7</f>
        <v>0</v>
      </c>
      <c r="F884" s="11" t="n">
        <f aca="false">D884*Calculator!$B$8</f>
        <v>0</v>
      </c>
      <c r="G884" s="11" t="n">
        <f aca="false">IF(B884&gt;0,'Tax Tables'!$B$32*MIN(MAX(B884/'Tax Tables'!$B$32*'Tax Tables'!$B$33,'Tax Tables'!$B$34),'Tax Tables'!$B$35),0)</f>
        <v>0</v>
      </c>
      <c r="H884" s="11" t="n">
        <f aca="false">Calculator!$B$5-A884-F884-G884</f>
        <v>-35500</v>
      </c>
      <c r="I884" s="11" t="n">
        <f aca="false">'Tax Tables'!$B$22*(MAX(H884,0)-IF(Calculator!$B$10="Yes",MIN(MAX(H884,0),'Tax Tables'!$B$27)*'Tax Tables'!$B$28+MIN(MAX(MAX(H884,0)-'Tax Tables'!$B$27,0),'Tax Tables'!$B$29)*'Tax Tables'!$B$30,MIN(MAX(H884,0),'Tax Tables'!$B$23)*'Tax Tables'!$B$24+MIN(MAX(MAX(H884,0)-'Tax Tables'!$B$23,0),'Tax Tables'!$B$25)*'Tax Tables'!$B$26))*1-MIN('Tax Tables'!$B$22*(MAX(H884,0)-IF(Calculator!$B$10="Yes",MIN(MAX(H884,0),'Tax Tables'!$B$27)*'Tax Tables'!$B$28+MIN(MAX(MAX(H884,0)-'Tax Tables'!$B$27,0),'Tax Tables'!$B$29)*'Tax Tables'!$B$30,MIN(MAX(H884,0),'Tax Tables'!$B$23)*'Tax Tables'!$B$24+MIN(MAX(MAX(H884,0)-'Tax Tables'!$B$23,0),'Tax Tables'!$B$25)*'Tax Tables'!$B$26))*Calculator!$B$11,Calculator!$B$12)</f>
        <v>0</v>
      </c>
      <c r="J884" s="11" t="n">
        <f aca="false">MAX(H884,0)-I884</f>
        <v>0</v>
      </c>
      <c r="K884" s="11" t="n">
        <f aca="false">MIN(IF(A884&gt;0,Calculator!$B$13,0)+E884+Calculator!$B$14,'Tax Tables'!$B$36)</f>
        <v>1000</v>
      </c>
      <c r="L884" s="11" t="n">
        <f aca="false">MAX(A884-K884,0)</f>
        <v>434500</v>
      </c>
      <c r="M884" s="11" t="n">
        <f aca="false">SUMPRODUCT((L884&gt;'Tax Tables'!$A$5:$A$17)*(L884-'Tax Tables'!$A$5:$A$17)*'Tax Tables'!$C$5:$C$17)</f>
        <v>69740</v>
      </c>
      <c r="N884" s="11" t="n">
        <f aca="false">IF(H884&lt;0,-1E+099,A884-E884-M884+J884+(E884+F884)*Calculator!$B$9)</f>
        <v>-1E+099</v>
      </c>
      <c r="O884" s="2"/>
      <c r="P884" s="11" t="n">
        <f aca="false">871*$B$3</f>
        <v>435500</v>
      </c>
      <c r="Q884" s="11" t="n">
        <f aca="false">MIN(P884,'Tax Tables'!$B$31*'Tax Tables'!$B$32)</f>
        <v>96000</v>
      </c>
      <c r="R884" s="11" t="n">
        <f aca="false">P884-Q884</f>
        <v>339500</v>
      </c>
      <c r="S884" s="11" t="n">
        <f aca="false">IF(Calculator!$B$6="Yes",MIN(Q884,'Tax Tables'!$B$31*'Tax Tables'!$B$32),0)</f>
        <v>96000</v>
      </c>
      <c r="T884" s="11" t="n">
        <f aca="false">S884*Calculator!$B$7</f>
        <v>19200</v>
      </c>
      <c r="U884" s="11" t="n">
        <f aca="false">S884*Calculator!$B$8</f>
        <v>16320</v>
      </c>
      <c r="V884" s="11" t="n">
        <f aca="false">IF(Q884&gt;0,'Tax Tables'!$B$32*MIN(MAX(Q884/'Tax Tables'!$B$32*'Tax Tables'!$B$33,'Tax Tables'!$B$34),'Tax Tables'!$B$35),0)</f>
        <v>135</v>
      </c>
      <c r="W884" s="11" t="n">
        <f aca="false">Calculator!$B$5-P884-U884-V884</f>
        <v>-51955</v>
      </c>
      <c r="X884" s="11" t="n">
        <f aca="false">'Tax Tables'!$B$22*(MAX(W884,0)-IF(Calculator!$B$10="Yes",MIN(MAX(W884,0),'Tax Tables'!$B$27)*'Tax Tables'!$B$28+MIN(MAX(MAX(W884,0)-'Tax Tables'!$B$27,0),'Tax Tables'!$B$29)*'Tax Tables'!$B$30,MIN(MAX(W884,0),'Tax Tables'!$B$23)*'Tax Tables'!$B$24+MIN(MAX(MAX(W884,0)-'Tax Tables'!$B$23,0),'Tax Tables'!$B$25)*'Tax Tables'!$B$26))*1-MIN('Tax Tables'!$B$22*(MAX(W884,0)-IF(Calculator!$B$10="Yes",MIN(MAX(W884,0),'Tax Tables'!$B$27)*'Tax Tables'!$B$28+MIN(MAX(MAX(W884,0)-'Tax Tables'!$B$27,0),'Tax Tables'!$B$29)*'Tax Tables'!$B$30,MIN(MAX(W884,0),'Tax Tables'!$B$23)*'Tax Tables'!$B$24+MIN(MAX(MAX(W884,0)-'Tax Tables'!$B$23,0),'Tax Tables'!$B$25)*'Tax Tables'!$B$26))*Calculator!$B$11,Calculator!$B$12)</f>
        <v>0</v>
      </c>
      <c r="Y884" s="11" t="n">
        <f aca="false">MAX(W884,0)-X884</f>
        <v>0</v>
      </c>
      <c r="Z884" s="11" t="n">
        <f aca="false">MIN(IF(P884&gt;0,Calculator!$B$13,0)+T884+Calculator!$B$14,'Tax Tables'!$B$36)</f>
        <v>20200</v>
      </c>
      <c r="AA884" s="11" t="n">
        <f aca="false">MAX(P884-Z884,0)</f>
        <v>415300</v>
      </c>
      <c r="AB884" s="11" t="n">
        <f aca="false">SUMPRODUCT((AA884&gt;'Tax Tables'!$A$5:$A$17)*(AA884-'Tax Tables'!$A$5:$A$17)*'Tax Tables'!$C$5:$C$17)</f>
        <v>65516</v>
      </c>
      <c r="AC884" s="11" t="n">
        <f aca="false">IF(W884&lt;0,-1E+099,P884-T884-AB884+Y884+(T884+U884)*Calculator!$B$9)</f>
        <v>-1E+099</v>
      </c>
    </row>
    <row r="885" customFormat="false" ht="15" hidden="false" customHeight="false" outlineLevel="0" collapsed="false">
      <c r="A885" s="11" t="n">
        <f aca="false">872*$B$3</f>
        <v>436000</v>
      </c>
      <c r="B885" s="11" t="n">
        <f aca="false">0</f>
        <v>0</v>
      </c>
      <c r="C885" s="11" t="n">
        <f aca="false">A885-B885</f>
        <v>436000</v>
      </c>
      <c r="D885" s="11" t="n">
        <f aca="false">IF(Calculator!$B$6="Yes",MIN(B885,'Tax Tables'!$B$31*'Tax Tables'!$B$32),0)</f>
        <v>0</v>
      </c>
      <c r="E885" s="11" t="n">
        <f aca="false">D885*Calculator!$B$7</f>
        <v>0</v>
      </c>
      <c r="F885" s="11" t="n">
        <f aca="false">D885*Calculator!$B$8</f>
        <v>0</v>
      </c>
      <c r="G885" s="11" t="n">
        <f aca="false">IF(B885&gt;0,'Tax Tables'!$B$32*MIN(MAX(B885/'Tax Tables'!$B$32*'Tax Tables'!$B$33,'Tax Tables'!$B$34),'Tax Tables'!$B$35),0)</f>
        <v>0</v>
      </c>
      <c r="H885" s="11" t="n">
        <f aca="false">Calculator!$B$5-A885-F885-G885</f>
        <v>-36000</v>
      </c>
      <c r="I885" s="11" t="n">
        <f aca="false">'Tax Tables'!$B$22*(MAX(H885,0)-IF(Calculator!$B$10="Yes",MIN(MAX(H885,0),'Tax Tables'!$B$27)*'Tax Tables'!$B$28+MIN(MAX(MAX(H885,0)-'Tax Tables'!$B$27,0),'Tax Tables'!$B$29)*'Tax Tables'!$B$30,MIN(MAX(H885,0),'Tax Tables'!$B$23)*'Tax Tables'!$B$24+MIN(MAX(MAX(H885,0)-'Tax Tables'!$B$23,0),'Tax Tables'!$B$25)*'Tax Tables'!$B$26))*1-MIN('Tax Tables'!$B$22*(MAX(H885,0)-IF(Calculator!$B$10="Yes",MIN(MAX(H885,0),'Tax Tables'!$B$27)*'Tax Tables'!$B$28+MIN(MAX(MAX(H885,0)-'Tax Tables'!$B$27,0),'Tax Tables'!$B$29)*'Tax Tables'!$B$30,MIN(MAX(H885,0),'Tax Tables'!$B$23)*'Tax Tables'!$B$24+MIN(MAX(MAX(H885,0)-'Tax Tables'!$B$23,0),'Tax Tables'!$B$25)*'Tax Tables'!$B$26))*Calculator!$B$11,Calculator!$B$12)</f>
        <v>0</v>
      </c>
      <c r="J885" s="11" t="n">
        <f aca="false">MAX(H885,0)-I885</f>
        <v>0</v>
      </c>
      <c r="K885" s="11" t="n">
        <f aca="false">MIN(IF(A885&gt;0,Calculator!$B$13,0)+E885+Calculator!$B$14,'Tax Tables'!$B$36)</f>
        <v>1000</v>
      </c>
      <c r="L885" s="11" t="n">
        <f aca="false">MAX(A885-K885,0)</f>
        <v>435000</v>
      </c>
      <c r="M885" s="11" t="n">
        <f aca="false">SUMPRODUCT((L885&gt;'Tax Tables'!$A$5:$A$17)*(L885-'Tax Tables'!$A$5:$A$17)*'Tax Tables'!$C$5:$C$17)</f>
        <v>69850</v>
      </c>
      <c r="N885" s="11" t="n">
        <f aca="false">IF(H885&lt;0,-1E+099,A885-E885-M885+J885+(E885+F885)*Calculator!$B$9)</f>
        <v>-1E+099</v>
      </c>
      <c r="O885" s="2"/>
      <c r="P885" s="11" t="n">
        <f aca="false">872*$B$3</f>
        <v>436000</v>
      </c>
      <c r="Q885" s="11" t="n">
        <f aca="false">MIN(P885,'Tax Tables'!$B$31*'Tax Tables'!$B$32)</f>
        <v>96000</v>
      </c>
      <c r="R885" s="11" t="n">
        <f aca="false">P885-Q885</f>
        <v>340000</v>
      </c>
      <c r="S885" s="11" t="n">
        <f aca="false">IF(Calculator!$B$6="Yes",MIN(Q885,'Tax Tables'!$B$31*'Tax Tables'!$B$32),0)</f>
        <v>96000</v>
      </c>
      <c r="T885" s="11" t="n">
        <f aca="false">S885*Calculator!$B$7</f>
        <v>19200</v>
      </c>
      <c r="U885" s="11" t="n">
        <f aca="false">S885*Calculator!$B$8</f>
        <v>16320</v>
      </c>
      <c r="V885" s="11" t="n">
        <f aca="false">IF(Q885&gt;0,'Tax Tables'!$B$32*MIN(MAX(Q885/'Tax Tables'!$B$32*'Tax Tables'!$B$33,'Tax Tables'!$B$34),'Tax Tables'!$B$35),0)</f>
        <v>135</v>
      </c>
      <c r="W885" s="11" t="n">
        <f aca="false">Calculator!$B$5-P885-U885-V885</f>
        <v>-52455</v>
      </c>
      <c r="X885" s="11" t="n">
        <f aca="false">'Tax Tables'!$B$22*(MAX(W885,0)-IF(Calculator!$B$10="Yes",MIN(MAX(W885,0),'Tax Tables'!$B$27)*'Tax Tables'!$B$28+MIN(MAX(MAX(W885,0)-'Tax Tables'!$B$27,0),'Tax Tables'!$B$29)*'Tax Tables'!$B$30,MIN(MAX(W885,0),'Tax Tables'!$B$23)*'Tax Tables'!$B$24+MIN(MAX(MAX(W885,0)-'Tax Tables'!$B$23,0),'Tax Tables'!$B$25)*'Tax Tables'!$B$26))*1-MIN('Tax Tables'!$B$22*(MAX(W885,0)-IF(Calculator!$B$10="Yes",MIN(MAX(W885,0),'Tax Tables'!$B$27)*'Tax Tables'!$B$28+MIN(MAX(MAX(W885,0)-'Tax Tables'!$B$27,0),'Tax Tables'!$B$29)*'Tax Tables'!$B$30,MIN(MAX(W885,0),'Tax Tables'!$B$23)*'Tax Tables'!$B$24+MIN(MAX(MAX(W885,0)-'Tax Tables'!$B$23,0),'Tax Tables'!$B$25)*'Tax Tables'!$B$26))*Calculator!$B$11,Calculator!$B$12)</f>
        <v>0</v>
      </c>
      <c r="Y885" s="11" t="n">
        <f aca="false">MAX(W885,0)-X885</f>
        <v>0</v>
      </c>
      <c r="Z885" s="11" t="n">
        <f aca="false">MIN(IF(P885&gt;0,Calculator!$B$13,0)+T885+Calculator!$B$14,'Tax Tables'!$B$36)</f>
        <v>20200</v>
      </c>
      <c r="AA885" s="11" t="n">
        <f aca="false">MAX(P885-Z885,0)</f>
        <v>415800</v>
      </c>
      <c r="AB885" s="11" t="n">
        <f aca="false">SUMPRODUCT((AA885&gt;'Tax Tables'!$A$5:$A$17)*(AA885-'Tax Tables'!$A$5:$A$17)*'Tax Tables'!$C$5:$C$17)</f>
        <v>65626</v>
      </c>
      <c r="AC885" s="11" t="n">
        <f aca="false">IF(W885&lt;0,-1E+099,P885-T885-AB885+Y885+(T885+U885)*Calculator!$B$9)</f>
        <v>-1E+099</v>
      </c>
    </row>
    <row r="886" customFormat="false" ht="15" hidden="false" customHeight="false" outlineLevel="0" collapsed="false">
      <c r="A886" s="11" t="n">
        <f aca="false">873*$B$3</f>
        <v>436500</v>
      </c>
      <c r="B886" s="11" t="n">
        <f aca="false">0</f>
        <v>0</v>
      </c>
      <c r="C886" s="11" t="n">
        <f aca="false">A886-B886</f>
        <v>436500</v>
      </c>
      <c r="D886" s="11" t="n">
        <f aca="false">IF(Calculator!$B$6="Yes",MIN(B886,'Tax Tables'!$B$31*'Tax Tables'!$B$32),0)</f>
        <v>0</v>
      </c>
      <c r="E886" s="11" t="n">
        <f aca="false">D886*Calculator!$B$7</f>
        <v>0</v>
      </c>
      <c r="F886" s="11" t="n">
        <f aca="false">D886*Calculator!$B$8</f>
        <v>0</v>
      </c>
      <c r="G886" s="11" t="n">
        <f aca="false">IF(B886&gt;0,'Tax Tables'!$B$32*MIN(MAX(B886/'Tax Tables'!$B$32*'Tax Tables'!$B$33,'Tax Tables'!$B$34),'Tax Tables'!$B$35),0)</f>
        <v>0</v>
      </c>
      <c r="H886" s="11" t="n">
        <f aca="false">Calculator!$B$5-A886-F886-G886</f>
        <v>-36500</v>
      </c>
      <c r="I886" s="11" t="n">
        <f aca="false">'Tax Tables'!$B$22*(MAX(H886,0)-IF(Calculator!$B$10="Yes",MIN(MAX(H886,0),'Tax Tables'!$B$27)*'Tax Tables'!$B$28+MIN(MAX(MAX(H886,0)-'Tax Tables'!$B$27,0),'Tax Tables'!$B$29)*'Tax Tables'!$B$30,MIN(MAX(H886,0),'Tax Tables'!$B$23)*'Tax Tables'!$B$24+MIN(MAX(MAX(H886,0)-'Tax Tables'!$B$23,0),'Tax Tables'!$B$25)*'Tax Tables'!$B$26))*1-MIN('Tax Tables'!$B$22*(MAX(H886,0)-IF(Calculator!$B$10="Yes",MIN(MAX(H886,0),'Tax Tables'!$B$27)*'Tax Tables'!$B$28+MIN(MAX(MAX(H886,0)-'Tax Tables'!$B$27,0),'Tax Tables'!$B$29)*'Tax Tables'!$B$30,MIN(MAX(H886,0),'Tax Tables'!$B$23)*'Tax Tables'!$B$24+MIN(MAX(MAX(H886,0)-'Tax Tables'!$B$23,0),'Tax Tables'!$B$25)*'Tax Tables'!$B$26))*Calculator!$B$11,Calculator!$B$12)</f>
        <v>0</v>
      </c>
      <c r="J886" s="11" t="n">
        <f aca="false">MAX(H886,0)-I886</f>
        <v>0</v>
      </c>
      <c r="K886" s="11" t="n">
        <f aca="false">MIN(IF(A886&gt;0,Calculator!$B$13,0)+E886+Calculator!$B$14,'Tax Tables'!$B$36)</f>
        <v>1000</v>
      </c>
      <c r="L886" s="11" t="n">
        <f aca="false">MAX(A886-K886,0)</f>
        <v>435500</v>
      </c>
      <c r="M886" s="11" t="n">
        <f aca="false">SUMPRODUCT((L886&gt;'Tax Tables'!$A$5:$A$17)*(L886-'Tax Tables'!$A$5:$A$17)*'Tax Tables'!$C$5:$C$17)</f>
        <v>69960</v>
      </c>
      <c r="N886" s="11" t="n">
        <f aca="false">IF(H886&lt;0,-1E+099,A886-E886-M886+J886+(E886+F886)*Calculator!$B$9)</f>
        <v>-1E+099</v>
      </c>
      <c r="O886" s="2"/>
      <c r="P886" s="11" t="n">
        <f aca="false">873*$B$3</f>
        <v>436500</v>
      </c>
      <c r="Q886" s="11" t="n">
        <f aca="false">MIN(P886,'Tax Tables'!$B$31*'Tax Tables'!$B$32)</f>
        <v>96000</v>
      </c>
      <c r="R886" s="11" t="n">
        <f aca="false">P886-Q886</f>
        <v>340500</v>
      </c>
      <c r="S886" s="11" t="n">
        <f aca="false">IF(Calculator!$B$6="Yes",MIN(Q886,'Tax Tables'!$B$31*'Tax Tables'!$B$32),0)</f>
        <v>96000</v>
      </c>
      <c r="T886" s="11" t="n">
        <f aca="false">S886*Calculator!$B$7</f>
        <v>19200</v>
      </c>
      <c r="U886" s="11" t="n">
        <f aca="false">S886*Calculator!$B$8</f>
        <v>16320</v>
      </c>
      <c r="V886" s="11" t="n">
        <f aca="false">IF(Q886&gt;0,'Tax Tables'!$B$32*MIN(MAX(Q886/'Tax Tables'!$B$32*'Tax Tables'!$B$33,'Tax Tables'!$B$34),'Tax Tables'!$B$35),0)</f>
        <v>135</v>
      </c>
      <c r="W886" s="11" t="n">
        <f aca="false">Calculator!$B$5-P886-U886-V886</f>
        <v>-52955</v>
      </c>
      <c r="X886" s="11" t="n">
        <f aca="false">'Tax Tables'!$B$22*(MAX(W886,0)-IF(Calculator!$B$10="Yes",MIN(MAX(W886,0),'Tax Tables'!$B$27)*'Tax Tables'!$B$28+MIN(MAX(MAX(W886,0)-'Tax Tables'!$B$27,0),'Tax Tables'!$B$29)*'Tax Tables'!$B$30,MIN(MAX(W886,0),'Tax Tables'!$B$23)*'Tax Tables'!$B$24+MIN(MAX(MAX(W886,0)-'Tax Tables'!$B$23,0),'Tax Tables'!$B$25)*'Tax Tables'!$B$26))*1-MIN('Tax Tables'!$B$22*(MAX(W886,0)-IF(Calculator!$B$10="Yes",MIN(MAX(W886,0),'Tax Tables'!$B$27)*'Tax Tables'!$B$28+MIN(MAX(MAX(W886,0)-'Tax Tables'!$B$27,0),'Tax Tables'!$B$29)*'Tax Tables'!$B$30,MIN(MAX(W886,0),'Tax Tables'!$B$23)*'Tax Tables'!$B$24+MIN(MAX(MAX(W886,0)-'Tax Tables'!$B$23,0),'Tax Tables'!$B$25)*'Tax Tables'!$B$26))*Calculator!$B$11,Calculator!$B$12)</f>
        <v>0</v>
      </c>
      <c r="Y886" s="11" t="n">
        <f aca="false">MAX(W886,0)-X886</f>
        <v>0</v>
      </c>
      <c r="Z886" s="11" t="n">
        <f aca="false">MIN(IF(P886&gt;0,Calculator!$B$13,0)+T886+Calculator!$B$14,'Tax Tables'!$B$36)</f>
        <v>20200</v>
      </c>
      <c r="AA886" s="11" t="n">
        <f aca="false">MAX(P886-Z886,0)</f>
        <v>416300</v>
      </c>
      <c r="AB886" s="11" t="n">
        <f aca="false">SUMPRODUCT((AA886&gt;'Tax Tables'!$A$5:$A$17)*(AA886-'Tax Tables'!$A$5:$A$17)*'Tax Tables'!$C$5:$C$17)</f>
        <v>65736</v>
      </c>
      <c r="AC886" s="11" t="n">
        <f aca="false">IF(W886&lt;0,-1E+099,P886-T886-AB886+Y886+(T886+U886)*Calculator!$B$9)</f>
        <v>-1E+099</v>
      </c>
    </row>
    <row r="887" customFormat="false" ht="15" hidden="false" customHeight="false" outlineLevel="0" collapsed="false">
      <c r="A887" s="11" t="n">
        <f aca="false">874*$B$3</f>
        <v>437000</v>
      </c>
      <c r="B887" s="11" t="n">
        <f aca="false">0</f>
        <v>0</v>
      </c>
      <c r="C887" s="11" t="n">
        <f aca="false">A887-B887</f>
        <v>437000</v>
      </c>
      <c r="D887" s="11" t="n">
        <f aca="false">IF(Calculator!$B$6="Yes",MIN(B887,'Tax Tables'!$B$31*'Tax Tables'!$B$32),0)</f>
        <v>0</v>
      </c>
      <c r="E887" s="11" t="n">
        <f aca="false">D887*Calculator!$B$7</f>
        <v>0</v>
      </c>
      <c r="F887" s="11" t="n">
        <f aca="false">D887*Calculator!$B$8</f>
        <v>0</v>
      </c>
      <c r="G887" s="11" t="n">
        <f aca="false">IF(B887&gt;0,'Tax Tables'!$B$32*MIN(MAX(B887/'Tax Tables'!$B$32*'Tax Tables'!$B$33,'Tax Tables'!$B$34),'Tax Tables'!$B$35),0)</f>
        <v>0</v>
      </c>
      <c r="H887" s="11" t="n">
        <f aca="false">Calculator!$B$5-A887-F887-G887</f>
        <v>-37000</v>
      </c>
      <c r="I887" s="11" t="n">
        <f aca="false">'Tax Tables'!$B$22*(MAX(H887,0)-IF(Calculator!$B$10="Yes",MIN(MAX(H887,0),'Tax Tables'!$B$27)*'Tax Tables'!$B$28+MIN(MAX(MAX(H887,0)-'Tax Tables'!$B$27,0),'Tax Tables'!$B$29)*'Tax Tables'!$B$30,MIN(MAX(H887,0),'Tax Tables'!$B$23)*'Tax Tables'!$B$24+MIN(MAX(MAX(H887,0)-'Tax Tables'!$B$23,0),'Tax Tables'!$B$25)*'Tax Tables'!$B$26))*1-MIN('Tax Tables'!$B$22*(MAX(H887,0)-IF(Calculator!$B$10="Yes",MIN(MAX(H887,0),'Tax Tables'!$B$27)*'Tax Tables'!$B$28+MIN(MAX(MAX(H887,0)-'Tax Tables'!$B$27,0),'Tax Tables'!$B$29)*'Tax Tables'!$B$30,MIN(MAX(H887,0),'Tax Tables'!$B$23)*'Tax Tables'!$B$24+MIN(MAX(MAX(H887,0)-'Tax Tables'!$B$23,0),'Tax Tables'!$B$25)*'Tax Tables'!$B$26))*Calculator!$B$11,Calculator!$B$12)</f>
        <v>0</v>
      </c>
      <c r="J887" s="11" t="n">
        <f aca="false">MAX(H887,0)-I887</f>
        <v>0</v>
      </c>
      <c r="K887" s="11" t="n">
        <f aca="false">MIN(IF(A887&gt;0,Calculator!$B$13,0)+E887+Calculator!$B$14,'Tax Tables'!$B$36)</f>
        <v>1000</v>
      </c>
      <c r="L887" s="11" t="n">
        <f aca="false">MAX(A887-K887,0)</f>
        <v>436000</v>
      </c>
      <c r="M887" s="11" t="n">
        <f aca="false">SUMPRODUCT((L887&gt;'Tax Tables'!$A$5:$A$17)*(L887-'Tax Tables'!$A$5:$A$17)*'Tax Tables'!$C$5:$C$17)</f>
        <v>70070</v>
      </c>
      <c r="N887" s="11" t="n">
        <f aca="false">IF(H887&lt;0,-1E+099,A887-E887-M887+J887+(E887+F887)*Calculator!$B$9)</f>
        <v>-1E+099</v>
      </c>
      <c r="O887" s="2"/>
      <c r="P887" s="11" t="n">
        <f aca="false">874*$B$3</f>
        <v>437000</v>
      </c>
      <c r="Q887" s="11" t="n">
        <f aca="false">MIN(P887,'Tax Tables'!$B$31*'Tax Tables'!$B$32)</f>
        <v>96000</v>
      </c>
      <c r="R887" s="11" t="n">
        <f aca="false">P887-Q887</f>
        <v>341000</v>
      </c>
      <c r="S887" s="11" t="n">
        <f aca="false">IF(Calculator!$B$6="Yes",MIN(Q887,'Tax Tables'!$B$31*'Tax Tables'!$B$32),0)</f>
        <v>96000</v>
      </c>
      <c r="T887" s="11" t="n">
        <f aca="false">S887*Calculator!$B$7</f>
        <v>19200</v>
      </c>
      <c r="U887" s="11" t="n">
        <f aca="false">S887*Calculator!$B$8</f>
        <v>16320</v>
      </c>
      <c r="V887" s="11" t="n">
        <f aca="false">IF(Q887&gt;0,'Tax Tables'!$B$32*MIN(MAX(Q887/'Tax Tables'!$B$32*'Tax Tables'!$B$33,'Tax Tables'!$B$34),'Tax Tables'!$B$35),0)</f>
        <v>135</v>
      </c>
      <c r="W887" s="11" t="n">
        <f aca="false">Calculator!$B$5-P887-U887-V887</f>
        <v>-53455</v>
      </c>
      <c r="X887" s="11" t="n">
        <f aca="false">'Tax Tables'!$B$22*(MAX(W887,0)-IF(Calculator!$B$10="Yes",MIN(MAX(W887,0),'Tax Tables'!$B$27)*'Tax Tables'!$B$28+MIN(MAX(MAX(W887,0)-'Tax Tables'!$B$27,0),'Tax Tables'!$B$29)*'Tax Tables'!$B$30,MIN(MAX(W887,0),'Tax Tables'!$B$23)*'Tax Tables'!$B$24+MIN(MAX(MAX(W887,0)-'Tax Tables'!$B$23,0),'Tax Tables'!$B$25)*'Tax Tables'!$B$26))*1-MIN('Tax Tables'!$B$22*(MAX(W887,0)-IF(Calculator!$B$10="Yes",MIN(MAX(W887,0),'Tax Tables'!$B$27)*'Tax Tables'!$B$28+MIN(MAX(MAX(W887,0)-'Tax Tables'!$B$27,0),'Tax Tables'!$B$29)*'Tax Tables'!$B$30,MIN(MAX(W887,0),'Tax Tables'!$B$23)*'Tax Tables'!$B$24+MIN(MAX(MAX(W887,0)-'Tax Tables'!$B$23,0),'Tax Tables'!$B$25)*'Tax Tables'!$B$26))*Calculator!$B$11,Calculator!$B$12)</f>
        <v>0</v>
      </c>
      <c r="Y887" s="11" t="n">
        <f aca="false">MAX(W887,0)-X887</f>
        <v>0</v>
      </c>
      <c r="Z887" s="11" t="n">
        <f aca="false">MIN(IF(P887&gt;0,Calculator!$B$13,0)+T887+Calculator!$B$14,'Tax Tables'!$B$36)</f>
        <v>20200</v>
      </c>
      <c r="AA887" s="11" t="n">
        <f aca="false">MAX(P887-Z887,0)</f>
        <v>416800</v>
      </c>
      <c r="AB887" s="11" t="n">
        <f aca="false">SUMPRODUCT((AA887&gt;'Tax Tables'!$A$5:$A$17)*(AA887-'Tax Tables'!$A$5:$A$17)*'Tax Tables'!$C$5:$C$17)</f>
        <v>65846</v>
      </c>
      <c r="AC887" s="11" t="n">
        <f aca="false">IF(W887&lt;0,-1E+099,P887-T887-AB887+Y887+(T887+U887)*Calculator!$B$9)</f>
        <v>-1E+099</v>
      </c>
    </row>
    <row r="888" customFormat="false" ht="15" hidden="false" customHeight="false" outlineLevel="0" collapsed="false">
      <c r="A888" s="11" t="n">
        <f aca="false">875*$B$3</f>
        <v>437500</v>
      </c>
      <c r="B888" s="11" t="n">
        <f aca="false">0</f>
        <v>0</v>
      </c>
      <c r="C888" s="11" t="n">
        <f aca="false">A888-B888</f>
        <v>437500</v>
      </c>
      <c r="D888" s="11" t="n">
        <f aca="false">IF(Calculator!$B$6="Yes",MIN(B888,'Tax Tables'!$B$31*'Tax Tables'!$B$32),0)</f>
        <v>0</v>
      </c>
      <c r="E888" s="11" t="n">
        <f aca="false">D888*Calculator!$B$7</f>
        <v>0</v>
      </c>
      <c r="F888" s="11" t="n">
        <f aca="false">D888*Calculator!$B$8</f>
        <v>0</v>
      </c>
      <c r="G888" s="11" t="n">
        <f aca="false">IF(B888&gt;0,'Tax Tables'!$B$32*MIN(MAX(B888/'Tax Tables'!$B$32*'Tax Tables'!$B$33,'Tax Tables'!$B$34),'Tax Tables'!$B$35),0)</f>
        <v>0</v>
      </c>
      <c r="H888" s="11" t="n">
        <f aca="false">Calculator!$B$5-A888-F888-G888</f>
        <v>-37500</v>
      </c>
      <c r="I888" s="11" t="n">
        <f aca="false">'Tax Tables'!$B$22*(MAX(H888,0)-IF(Calculator!$B$10="Yes",MIN(MAX(H888,0),'Tax Tables'!$B$27)*'Tax Tables'!$B$28+MIN(MAX(MAX(H888,0)-'Tax Tables'!$B$27,0),'Tax Tables'!$B$29)*'Tax Tables'!$B$30,MIN(MAX(H888,0),'Tax Tables'!$B$23)*'Tax Tables'!$B$24+MIN(MAX(MAX(H888,0)-'Tax Tables'!$B$23,0),'Tax Tables'!$B$25)*'Tax Tables'!$B$26))*1-MIN('Tax Tables'!$B$22*(MAX(H888,0)-IF(Calculator!$B$10="Yes",MIN(MAX(H888,0),'Tax Tables'!$B$27)*'Tax Tables'!$B$28+MIN(MAX(MAX(H888,0)-'Tax Tables'!$B$27,0),'Tax Tables'!$B$29)*'Tax Tables'!$B$30,MIN(MAX(H888,0),'Tax Tables'!$B$23)*'Tax Tables'!$B$24+MIN(MAX(MAX(H888,0)-'Tax Tables'!$B$23,0),'Tax Tables'!$B$25)*'Tax Tables'!$B$26))*Calculator!$B$11,Calculator!$B$12)</f>
        <v>0</v>
      </c>
      <c r="J888" s="11" t="n">
        <f aca="false">MAX(H888,0)-I888</f>
        <v>0</v>
      </c>
      <c r="K888" s="11" t="n">
        <f aca="false">MIN(IF(A888&gt;0,Calculator!$B$13,0)+E888+Calculator!$B$14,'Tax Tables'!$B$36)</f>
        <v>1000</v>
      </c>
      <c r="L888" s="11" t="n">
        <f aca="false">MAX(A888-K888,0)</f>
        <v>436500</v>
      </c>
      <c r="M888" s="11" t="n">
        <f aca="false">SUMPRODUCT((L888&gt;'Tax Tables'!$A$5:$A$17)*(L888-'Tax Tables'!$A$5:$A$17)*'Tax Tables'!$C$5:$C$17)</f>
        <v>70180</v>
      </c>
      <c r="N888" s="11" t="n">
        <f aca="false">IF(H888&lt;0,-1E+099,A888-E888-M888+J888+(E888+F888)*Calculator!$B$9)</f>
        <v>-1E+099</v>
      </c>
      <c r="O888" s="2"/>
      <c r="P888" s="11" t="n">
        <f aca="false">875*$B$3</f>
        <v>437500</v>
      </c>
      <c r="Q888" s="11" t="n">
        <f aca="false">MIN(P888,'Tax Tables'!$B$31*'Tax Tables'!$B$32)</f>
        <v>96000</v>
      </c>
      <c r="R888" s="11" t="n">
        <f aca="false">P888-Q888</f>
        <v>341500</v>
      </c>
      <c r="S888" s="11" t="n">
        <f aca="false">IF(Calculator!$B$6="Yes",MIN(Q888,'Tax Tables'!$B$31*'Tax Tables'!$B$32),0)</f>
        <v>96000</v>
      </c>
      <c r="T888" s="11" t="n">
        <f aca="false">S888*Calculator!$B$7</f>
        <v>19200</v>
      </c>
      <c r="U888" s="11" t="n">
        <f aca="false">S888*Calculator!$B$8</f>
        <v>16320</v>
      </c>
      <c r="V888" s="11" t="n">
        <f aca="false">IF(Q888&gt;0,'Tax Tables'!$B$32*MIN(MAX(Q888/'Tax Tables'!$B$32*'Tax Tables'!$B$33,'Tax Tables'!$B$34),'Tax Tables'!$B$35),0)</f>
        <v>135</v>
      </c>
      <c r="W888" s="11" t="n">
        <f aca="false">Calculator!$B$5-P888-U888-V888</f>
        <v>-53955</v>
      </c>
      <c r="X888" s="11" t="n">
        <f aca="false">'Tax Tables'!$B$22*(MAX(W888,0)-IF(Calculator!$B$10="Yes",MIN(MAX(W888,0),'Tax Tables'!$B$27)*'Tax Tables'!$B$28+MIN(MAX(MAX(W888,0)-'Tax Tables'!$B$27,0),'Tax Tables'!$B$29)*'Tax Tables'!$B$30,MIN(MAX(W888,0),'Tax Tables'!$B$23)*'Tax Tables'!$B$24+MIN(MAX(MAX(W888,0)-'Tax Tables'!$B$23,0),'Tax Tables'!$B$25)*'Tax Tables'!$B$26))*1-MIN('Tax Tables'!$B$22*(MAX(W888,0)-IF(Calculator!$B$10="Yes",MIN(MAX(W888,0),'Tax Tables'!$B$27)*'Tax Tables'!$B$28+MIN(MAX(MAX(W888,0)-'Tax Tables'!$B$27,0),'Tax Tables'!$B$29)*'Tax Tables'!$B$30,MIN(MAX(W888,0),'Tax Tables'!$B$23)*'Tax Tables'!$B$24+MIN(MAX(MAX(W888,0)-'Tax Tables'!$B$23,0),'Tax Tables'!$B$25)*'Tax Tables'!$B$26))*Calculator!$B$11,Calculator!$B$12)</f>
        <v>0</v>
      </c>
      <c r="Y888" s="11" t="n">
        <f aca="false">MAX(W888,0)-X888</f>
        <v>0</v>
      </c>
      <c r="Z888" s="11" t="n">
        <f aca="false">MIN(IF(P888&gt;0,Calculator!$B$13,0)+T888+Calculator!$B$14,'Tax Tables'!$B$36)</f>
        <v>20200</v>
      </c>
      <c r="AA888" s="11" t="n">
        <f aca="false">MAX(P888-Z888,0)</f>
        <v>417300</v>
      </c>
      <c r="AB888" s="11" t="n">
        <f aca="false">SUMPRODUCT((AA888&gt;'Tax Tables'!$A$5:$A$17)*(AA888-'Tax Tables'!$A$5:$A$17)*'Tax Tables'!$C$5:$C$17)</f>
        <v>65956</v>
      </c>
      <c r="AC888" s="11" t="n">
        <f aca="false">IF(W888&lt;0,-1E+099,P888-T888-AB888+Y888+(T888+U888)*Calculator!$B$9)</f>
        <v>-1E+099</v>
      </c>
    </row>
    <row r="889" customFormat="false" ht="15" hidden="false" customHeight="false" outlineLevel="0" collapsed="false">
      <c r="A889" s="11" t="n">
        <f aca="false">876*$B$3</f>
        <v>438000</v>
      </c>
      <c r="B889" s="11" t="n">
        <f aca="false">0</f>
        <v>0</v>
      </c>
      <c r="C889" s="11" t="n">
        <f aca="false">A889-B889</f>
        <v>438000</v>
      </c>
      <c r="D889" s="11" t="n">
        <f aca="false">IF(Calculator!$B$6="Yes",MIN(B889,'Tax Tables'!$B$31*'Tax Tables'!$B$32),0)</f>
        <v>0</v>
      </c>
      <c r="E889" s="11" t="n">
        <f aca="false">D889*Calculator!$B$7</f>
        <v>0</v>
      </c>
      <c r="F889" s="11" t="n">
        <f aca="false">D889*Calculator!$B$8</f>
        <v>0</v>
      </c>
      <c r="G889" s="11" t="n">
        <f aca="false">IF(B889&gt;0,'Tax Tables'!$B$32*MIN(MAX(B889/'Tax Tables'!$B$32*'Tax Tables'!$B$33,'Tax Tables'!$B$34),'Tax Tables'!$B$35),0)</f>
        <v>0</v>
      </c>
      <c r="H889" s="11" t="n">
        <f aca="false">Calculator!$B$5-A889-F889-G889</f>
        <v>-38000</v>
      </c>
      <c r="I889" s="11" t="n">
        <f aca="false">'Tax Tables'!$B$22*(MAX(H889,0)-IF(Calculator!$B$10="Yes",MIN(MAX(H889,0),'Tax Tables'!$B$27)*'Tax Tables'!$B$28+MIN(MAX(MAX(H889,0)-'Tax Tables'!$B$27,0),'Tax Tables'!$B$29)*'Tax Tables'!$B$30,MIN(MAX(H889,0),'Tax Tables'!$B$23)*'Tax Tables'!$B$24+MIN(MAX(MAX(H889,0)-'Tax Tables'!$B$23,0),'Tax Tables'!$B$25)*'Tax Tables'!$B$26))*1-MIN('Tax Tables'!$B$22*(MAX(H889,0)-IF(Calculator!$B$10="Yes",MIN(MAX(H889,0),'Tax Tables'!$B$27)*'Tax Tables'!$B$28+MIN(MAX(MAX(H889,0)-'Tax Tables'!$B$27,0),'Tax Tables'!$B$29)*'Tax Tables'!$B$30,MIN(MAX(H889,0),'Tax Tables'!$B$23)*'Tax Tables'!$B$24+MIN(MAX(MAX(H889,0)-'Tax Tables'!$B$23,0),'Tax Tables'!$B$25)*'Tax Tables'!$B$26))*Calculator!$B$11,Calculator!$B$12)</f>
        <v>0</v>
      </c>
      <c r="J889" s="11" t="n">
        <f aca="false">MAX(H889,0)-I889</f>
        <v>0</v>
      </c>
      <c r="K889" s="11" t="n">
        <f aca="false">MIN(IF(A889&gt;0,Calculator!$B$13,0)+E889+Calculator!$B$14,'Tax Tables'!$B$36)</f>
        <v>1000</v>
      </c>
      <c r="L889" s="11" t="n">
        <f aca="false">MAX(A889-K889,0)</f>
        <v>437000</v>
      </c>
      <c r="M889" s="11" t="n">
        <f aca="false">SUMPRODUCT((L889&gt;'Tax Tables'!$A$5:$A$17)*(L889-'Tax Tables'!$A$5:$A$17)*'Tax Tables'!$C$5:$C$17)</f>
        <v>70290</v>
      </c>
      <c r="N889" s="11" t="n">
        <f aca="false">IF(H889&lt;0,-1E+099,A889-E889-M889+J889+(E889+F889)*Calculator!$B$9)</f>
        <v>-1E+099</v>
      </c>
      <c r="O889" s="2"/>
      <c r="P889" s="11" t="n">
        <f aca="false">876*$B$3</f>
        <v>438000</v>
      </c>
      <c r="Q889" s="11" t="n">
        <f aca="false">MIN(P889,'Tax Tables'!$B$31*'Tax Tables'!$B$32)</f>
        <v>96000</v>
      </c>
      <c r="R889" s="11" t="n">
        <f aca="false">P889-Q889</f>
        <v>342000</v>
      </c>
      <c r="S889" s="11" t="n">
        <f aca="false">IF(Calculator!$B$6="Yes",MIN(Q889,'Tax Tables'!$B$31*'Tax Tables'!$B$32),0)</f>
        <v>96000</v>
      </c>
      <c r="T889" s="11" t="n">
        <f aca="false">S889*Calculator!$B$7</f>
        <v>19200</v>
      </c>
      <c r="U889" s="11" t="n">
        <f aca="false">S889*Calculator!$B$8</f>
        <v>16320</v>
      </c>
      <c r="V889" s="11" t="n">
        <f aca="false">IF(Q889&gt;0,'Tax Tables'!$B$32*MIN(MAX(Q889/'Tax Tables'!$B$32*'Tax Tables'!$B$33,'Tax Tables'!$B$34),'Tax Tables'!$B$35),0)</f>
        <v>135</v>
      </c>
      <c r="W889" s="11" t="n">
        <f aca="false">Calculator!$B$5-P889-U889-V889</f>
        <v>-54455</v>
      </c>
      <c r="X889" s="11" t="n">
        <f aca="false">'Tax Tables'!$B$22*(MAX(W889,0)-IF(Calculator!$B$10="Yes",MIN(MAX(W889,0),'Tax Tables'!$B$27)*'Tax Tables'!$B$28+MIN(MAX(MAX(W889,0)-'Tax Tables'!$B$27,0),'Tax Tables'!$B$29)*'Tax Tables'!$B$30,MIN(MAX(W889,0),'Tax Tables'!$B$23)*'Tax Tables'!$B$24+MIN(MAX(MAX(W889,0)-'Tax Tables'!$B$23,0),'Tax Tables'!$B$25)*'Tax Tables'!$B$26))*1-MIN('Tax Tables'!$B$22*(MAX(W889,0)-IF(Calculator!$B$10="Yes",MIN(MAX(W889,0),'Tax Tables'!$B$27)*'Tax Tables'!$B$28+MIN(MAX(MAX(W889,0)-'Tax Tables'!$B$27,0),'Tax Tables'!$B$29)*'Tax Tables'!$B$30,MIN(MAX(W889,0),'Tax Tables'!$B$23)*'Tax Tables'!$B$24+MIN(MAX(MAX(W889,0)-'Tax Tables'!$B$23,0),'Tax Tables'!$B$25)*'Tax Tables'!$B$26))*Calculator!$B$11,Calculator!$B$12)</f>
        <v>0</v>
      </c>
      <c r="Y889" s="11" t="n">
        <f aca="false">MAX(W889,0)-X889</f>
        <v>0</v>
      </c>
      <c r="Z889" s="11" t="n">
        <f aca="false">MIN(IF(P889&gt;0,Calculator!$B$13,0)+T889+Calculator!$B$14,'Tax Tables'!$B$36)</f>
        <v>20200</v>
      </c>
      <c r="AA889" s="11" t="n">
        <f aca="false">MAX(P889-Z889,0)</f>
        <v>417800</v>
      </c>
      <c r="AB889" s="11" t="n">
        <f aca="false">SUMPRODUCT((AA889&gt;'Tax Tables'!$A$5:$A$17)*(AA889-'Tax Tables'!$A$5:$A$17)*'Tax Tables'!$C$5:$C$17)</f>
        <v>66066</v>
      </c>
      <c r="AC889" s="11" t="n">
        <f aca="false">IF(W889&lt;0,-1E+099,P889-T889-AB889+Y889+(T889+U889)*Calculator!$B$9)</f>
        <v>-1E+099</v>
      </c>
    </row>
    <row r="890" customFormat="false" ht="15" hidden="false" customHeight="false" outlineLevel="0" collapsed="false">
      <c r="A890" s="11" t="n">
        <f aca="false">877*$B$3</f>
        <v>438500</v>
      </c>
      <c r="B890" s="11" t="n">
        <f aca="false">0</f>
        <v>0</v>
      </c>
      <c r="C890" s="11" t="n">
        <f aca="false">A890-B890</f>
        <v>438500</v>
      </c>
      <c r="D890" s="11" t="n">
        <f aca="false">IF(Calculator!$B$6="Yes",MIN(B890,'Tax Tables'!$B$31*'Tax Tables'!$B$32),0)</f>
        <v>0</v>
      </c>
      <c r="E890" s="11" t="n">
        <f aca="false">D890*Calculator!$B$7</f>
        <v>0</v>
      </c>
      <c r="F890" s="11" t="n">
        <f aca="false">D890*Calculator!$B$8</f>
        <v>0</v>
      </c>
      <c r="G890" s="11" t="n">
        <f aca="false">IF(B890&gt;0,'Tax Tables'!$B$32*MIN(MAX(B890/'Tax Tables'!$B$32*'Tax Tables'!$B$33,'Tax Tables'!$B$34),'Tax Tables'!$B$35),0)</f>
        <v>0</v>
      </c>
      <c r="H890" s="11" t="n">
        <f aca="false">Calculator!$B$5-A890-F890-G890</f>
        <v>-38500</v>
      </c>
      <c r="I890" s="11" t="n">
        <f aca="false">'Tax Tables'!$B$22*(MAX(H890,0)-IF(Calculator!$B$10="Yes",MIN(MAX(H890,0),'Tax Tables'!$B$27)*'Tax Tables'!$B$28+MIN(MAX(MAX(H890,0)-'Tax Tables'!$B$27,0),'Tax Tables'!$B$29)*'Tax Tables'!$B$30,MIN(MAX(H890,0),'Tax Tables'!$B$23)*'Tax Tables'!$B$24+MIN(MAX(MAX(H890,0)-'Tax Tables'!$B$23,0),'Tax Tables'!$B$25)*'Tax Tables'!$B$26))*1-MIN('Tax Tables'!$B$22*(MAX(H890,0)-IF(Calculator!$B$10="Yes",MIN(MAX(H890,0),'Tax Tables'!$B$27)*'Tax Tables'!$B$28+MIN(MAX(MAX(H890,0)-'Tax Tables'!$B$27,0),'Tax Tables'!$B$29)*'Tax Tables'!$B$30,MIN(MAX(H890,0),'Tax Tables'!$B$23)*'Tax Tables'!$B$24+MIN(MAX(MAX(H890,0)-'Tax Tables'!$B$23,0),'Tax Tables'!$B$25)*'Tax Tables'!$B$26))*Calculator!$B$11,Calculator!$B$12)</f>
        <v>0</v>
      </c>
      <c r="J890" s="11" t="n">
        <f aca="false">MAX(H890,0)-I890</f>
        <v>0</v>
      </c>
      <c r="K890" s="11" t="n">
        <f aca="false">MIN(IF(A890&gt;0,Calculator!$B$13,0)+E890+Calculator!$B$14,'Tax Tables'!$B$36)</f>
        <v>1000</v>
      </c>
      <c r="L890" s="11" t="n">
        <f aca="false">MAX(A890-K890,0)</f>
        <v>437500</v>
      </c>
      <c r="M890" s="11" t="n">
        <f aca="false">SUMPRODUCT((L890&gt;'Tax Tables'!$A$5:$A$17)*(L890-'Tax Tables'!$A$5:$A$17)*'Tax Tables'!$C$5:$C$17)</f>
        <v>70400</v>
      </c>
      <c r="N890" s="11" t="n">
        <f aca="false">IF(H890&lt;0,-1E+099,A890-E890-M890+J890+(E890+F890)*Calculator!$B$9)</f>
        <v>-1E+099</v>
      </c>
      <c r="O890" s="2"/>
      <c r="P890" s="11" t="n">
        <f aca="false">877*$B$3</f>
        <v>438500</v>
      </c>
      <c r="Q890" s="11" t="n">
        <f aca="false">MIN(P890,'Tax Tables'!$B$31*'Tax Tables'!$B$32)</f>
        <v>96000</v>
      </c>
      <c r="R890" s="11" t="n">
        <f aca="false">P890-Q890</f>
        <v>342500</v>
      </c>
      <c r="S890" s="11" t="n">
        <f aca="false">IF(Calculator!$B$6="Yes",MIN(Q890,'Tax Tables'!$B$31*'Tax Tables'!$B$32),0)</f>
        <v>96000</v>
      </c>
      <c r="T890" s="11" t="n">
        <f aca="false">S890*Calculator!$B$7</f>
        <v>19200</v>
      </c>
      <c r="U890" s="11" t="n">
        <f aca="false">S890*Calculator!$B$8</f>
        <v>16320</v>
      </c>
      <c r="V890" s="11" t="n">
        <f aca="false">IF(Q890&gt;0,'Tax Tables'!$B$32*MIN(MAX(Q890/'Tax Tables'!$B$32*'Tax Tables'!$B$33,'Tax Tables'!$B$34),'Tax Tables'!$B$35),0)</f>
        <v>135</v>
      </c>
      <c r="W890" s="11" t="n">
        <f aca="false">Calculator!$B$5-P890-U890-V890</f>
        <v>-54955</v>
      </c>
      <c r="X890" s="11" t="n">
        <f aca="false">'Tax Tables'!$B$22*(MAX(W890,0)-IF(Calculator!$B$10="Yes",MIN(MAX(W890,0),'Tax Tables'!$B$27)*'Tax Tables'!$B$28+MIN(MAX(MAX(W890,0)-'Tax Tables'!$B$27,0),'Tax Tables'!$B$29)*'Tax Tables'!$B$30,MIN(MAX(W890,0),'Tax Tables'!$B$23)*'Tax Tables'!$B$24+MIN(MAX(MAX(W890,0)-'Tax Tables'!$B$23,0),'Tax Tables'!$B$25)*'Tax Tables'!$B$26))*1-MIN('Tax Tables'!$B$22*(MAX(W890,0)-IF(Calculator!$B$10="Yes",MIN(MAX(W890,0),'Tax Tables'!$B$27)*'Tax Tables'!$B$28+MIN(MAX(MAX(W890,0)-'Tax Tables'!$B$27,0),'Tax Tables'!$B$29)*'Tax Tables'!$B$30,MIN(MAX(W890,0),'Tax Tables'!$B$23)*'Tax Tables'!$B$24+MIN(MAX(MAX(W890,0)-'Tax Tables'!$B$23,0),'Tax Tables'!$B$25)*'Tax Tables'!$B$26))*Calculator!$B$11,Calculator!$B$12)</f>
        <v>0</v>
      </c>
      <c r="Y890" s="11" t="n">
        <f aca="false">MAX(W890,0)-X890</f>
        <v>0</v>
      </c>
      <c r="Z890" s="11" t="n">
        <f aca="false">MIN(IF(P890&gt;0,Calculator!$B$13,0)+T890+Calculator!$B$14,'Tax Tables'!$B$36)</f>
        <v>20200</v>
      </c>
      <c r="AA890" s="11" t="n">
        <f aca="false">MAX(P890-Z890,0)</f>
        <v>418300</v>
      </c>
      <c r="AB890" s="11" t="n">
        <f aca="false">SUMPRODUCT((AA890&gt;'Tax Tables'!$A$5:$A$17)*(AA890-'Tax Tables'!$A$5:$A$17)*'Tax Tables'!$C$5:$C$17)</f>
        <v>66176</v>
      </c>
      <c r="AC890" s="11" t="n">
        <f aca="false">IF(W890&lt;0,-1E+099,P890-T890-AB890+Y890+(T890+U890)*Calculator!$B$9)</f>
        <v>-1E+099</v>
      </c>
    </row>
    <row r="891" customFormat="false" ht="15" hidden="false" customHeight="false" outlineLevel="0" collapsed="false">
      <c r="A891" s="11" t="n">
        <f aca="false">878*$B$3</f>
        <v>439000</v>
      </c>
      <c r="B891" s="11" t="n">
        <f aca="false">0</f>
        <v>0</v>
      </c>
      <c r="C891" s="11" t="n">
        <f aca="false">A891-B891</f>
        <v>439000</v>
      </c>
      <c r="D891" s="11" t="n">
        <f aca="false">IF(Calculator!$B$6="Yes",MIN(B891,'Tax Tables'!$B$31*'Tax Tables'!$B$32),0)</f>
        <v>0</v>
      </c>
      <c r="E891" s="11" t="n">
        <f aca="false">D891*Calculator!$B$7</f>
        <v>0</v>
      </c>
      <c r="F891" s="11" t="n">
        <f aca="false">D891*Calculator!$B$8</f>
        <v>0</v>
      </c>
      <c r="G891" s="11" t="n">
        <f aca="false">IF(B891&gt;0,'Tax Tables'!$B$32*MIN(MAX(B891/'Tax Tables'!$B$32*'Tax Tables'!$B$33,'Tax Tables'!$B$34),'Tax Tables'!$B$35),0)</f>
        <v>0</v>
      </c>
      <c r="H891" s="11" t="n">
        <f aca="false">Calculator!$B$5-A891-F891-G891</f>
        <v>-39000</v>
      </c>
      <c r="I891" s="11" t="n">
        <f aca="false">'Tax Tables'!$B$22*(MAX(H891,0)-IF(Calculator!$B$10="Yes",MIN(MAX(H891,0),'Tax Tables'!$B$27)*'Tax Tables'!$B$28+MIN(MAX(MAX(H891,0)-'Tax Tables'!$B$27,0),'Tax Tables'!$B$29)*'Tax Tables'!$B$30,MIN(MAX(H891,0),'Tax Tables'!$B$23)*'Tax Tables'!$B$24+MIN(MAX(MAX(H891,0)-'Tax Tables'!$B$23,0),'Tax Tables'!$B$25)*'Tax Tables'!$B$26))*1-MIN('Tax Tables'!$B$22*(MAX(H891,0)-IF(Calculator!$B$10="Yes",MIN(MAX(H891,0),'Tax Tables'!$B$27)*'Tax Tables'!$B$28+MIN(MAX(MAX(H891,0)-'Tax Tables'!$B$27,0),'Tax Tables'!$B$29)*'Tax Tables'!$B$30,MIN(MAX(H891,0),'Tax Tables'!$B$23)*'Tax Tables'!$B$24+MIN(MAX(MAX(H891,0)-'Tax Tables'!$B$23,0),'Tax Tables'!$B$25)*'Tax Tables'!$B$26))*Calculator!$B$11,Calculator!$B$12)</f>
        <v>0</v>
      </c>
      <c r="J891" s="11" t="n">
        <f aca="false">MAX(H891,0)-I891</f>
        <v>0</v>
      </c>
      <c r="K891" s="11" t="n">
        <f aca="false">MIN(IF(A891&gt;0,Calculator!$B$13,0)+E891+Calculator!$B$14,'Tax Tables'!$B$36)</f>
        <v>1000</v>
      </c>
      <c r="L891" s="11" t="n">
        <f aca="false">MAX(A891-K891,0)</f>
        <v>438000</v>
      </c>
      <c r="M891" s="11" t="n">
        <f aca="false">SUMPRODUCT((L891&gt;'Tax Tables'!$A$5:$A$17)*(L891-'Tax Tables'!$A$5:$A$17)*'Tax Tables'!$C$5:$C$17)</f>
        <v>70510</v>
      </c>
      <c r="N891" s="11" t="n">
        <f aca="false">IF(H891&lt;0,-1E+099,A891-E891-M891+J891+(E891+F891)*Calculator!$B$9)</f>
        <v>-1E+099</v>
      </c>
      <c r="O891" s="2"/>
      <c r="P891" s="11" t="n">
        <f aca="false">878*$B$3</f>
        <v>439000</v>
      </c>
      <c r="Q891" s="11" t="n">
        <f aca="false">MIN(P891,'Tax Tables'!$B$31*'Tax Tables'!$B$32)</f>
        <v>96000</v>
      </c>
      <c r="R891" s="11" t="n">
        <f aca="false">P891-Q891</f>
        <v>343000</v>
      </c>
      <c r="S891" s="11" t="n">
        <f aca="false">IF(Calculator!$B$6="Yes",MIN(Q891,'Tax Tables'!$B$31*'Tax Tables'!$B$32),0)</f>
        <v>96000</v>
      </c>
      <c r="T891" s="11" t="n">
        <f aca="false">S891*Calculator!$B$7</f>
        <v>19200</v>
      </c>
      <c r="U891" s="11" t="n">
        <f aca="false">S891*Calculator!$B$8</f>
        <v>16320</v>
      </c>
      <c r="V891" s="11" t="n">
        <f aca="false">IF(Q891&gt;0,'Tax Tables'!$B$32*MIN(MAX(Q891/'Tax Tables'!$B$32*'Tax Tables'!$B$33,'Tax Tables'!$B$34),'Tax Tables'!$B$35),0)</f>
        <v>135</v>
      </c>
      <c r="W891" s="11" t="n">
        <f aca="false">Calculator!$B$5-P891-U891-V891</f>
        <v>-55455</v>
      </c>
      <c r="X891" s="11" t="n">
        <f aca="false">'Tax Tables'!$B$22*(MAX(W891,0)-IF(Calculator!$B$10="Yes",MIN(MAX(W891,0),'Tax Tables'!$B$27)*'Tax Tables'!$B$28+MIN(MAX(MAX(W891,0)-'Tax Tables'!$B$27,0),'Tax Tables'!$B$29)*'Tax Tables'!$B$30,MIN(MAX(W891,0),'Tax Tables'!$B$23)*'Tax Tables'!$B$24+MIN(MAX(MAX(W891,0)-'Tax Tables'!$B$23,0),'Tax Tables'!$B$25)*'Tax Tables'!$B$26))*1-MIN('Tax Tables'!$B$22*(MAX(W891,0)-IF(Calculator!$B$10="Yes",MIN(MAX(W891,0),'Tax Tables'!$B$27)*'Tax Tables'!$B$28+MIN(MAX(MAX(W891,0)-'Tax Tables'!$B$27,0),'Tax Tables'!$B$29)*'Tax Tables'!$B$30,MIN(MAX(W891,0),'Tax Tables'!$B$23)*'Tax Tables'!$B$24+MIN(MAX(MAX(W891,0)-'Tax Tables'!$B$23,0),'Tax Tables'!$B$25)*'Tax Tables'!$B$26))*Calculator!$B$11,Calculator!$B$12)</f>
        <v>0</v>
      </c>
      <c r="Y891" s="11" t="n">
        <f aca="false">MAX(W891,0)-X891</f>
        <v>0</v>
      </c>
      <c r="Z891" s="11" t="n">
        <f aca="false">MIN(IF(P891&gt;0,Calculator!$B$13,0)+T891+Calculator!$B$14,'Tax Tables'!$B$36)</f>
        <v>20200</v>
      </c>
      <c r="AA891" s="11" t="n">
        <f aca="false">MAX(P891-Z891,0)</f>
        <v>418800</v>
      </c>
      <c r="AB891" s="11" t="n">
        <f aca="false">SUMPRODUCT((AA891&gt;'Tax Tables'!$A$5:$A$17)*(AA891-'Tax Tables'!$A$5:$A$17)*'Tax Tables'!$C$5:$C$17)</f>
        <v>66286</v>
      </c>
      <c r="AC891" s="11" t="n">
        <f aca="false">IF(W891&lt;0,-1E+099,P891-T891-AB891+Y891+(T891+U891)*Calculator!$B$9)</f>
        <v>-1E+099</v>
      </c>
    </row>
    <row r="892" customFormat="false" ht="15" hidden="false" customHeight="false" outlineLevel="0" collapsed="false">
      <c r="A892" s="11" t="n">
        <f aca="false">879*$B$3</f>
        <v>439500</v>
      </c>
      <c r="B892" s="11" t="n">
        <f aca="false">0</f>
        <v>0</v>
      </c>
      <c r="C892" s="11" t="n">
        <f aca="false">A892-B892</f>
        <v>439500</v>
      </c>
      <c r="D892" s="11" t="n">
        <f aca="false">IF(Calculator!$B$6="Yes",MIN(B892,'Tax Tables'!$B$31*'Tax Tables'!$B$32),0)</f>
        <v>0</v>
      </c>
      <c r="E892" s="11" t="n">
        <f aca="false">D892*Calculator!$B$7</f>
        <v>0</v>
      </c>
      <c r="F892" s="11" t="n">
        <f aca="false">D892*Calculator!$B$8</f>
        <v>0</v>
      </c>
      <c r="G892" s="11" t="n">
        <f aca="false">IF(B892&gt;0,'Tax Tables'!$B$32*MIN(MAX(B892/'Tax Tables'!$B$32*'Tax Tables'!$B$33,'Tax Tables'!$B$34),'Tax Tables'!$B$35),0)</f>
        <v>0</v>
      </c>
      <c r="H892" s="11" t="n">
        <f aca="false">Calculator!$B$5-A892-F892-G892</f>
        <v>-39500</v>
      </c>
      <c r="I892" s="11" t="n">
        <f aca="false">'Tax Tables'!$B$22*(MAX(H892,0)-IF(Calculator!$B$10="Yes",MIN(MAX(H892,0),'Tax Tables'!$B$27)*'Tax Tables'!$B$28+MIN(MAX(MAX(H892,0)-'Tax Tables'!$B$27,0),'Tax Tables'!$B$29)*'Tax Tables'!$B$30,MIN(MAX(H892,0),'Tax Tables'!$B$23)*'Tax Tables'!$B$24+MIN(MAX(MAX(H892,0)-'Tax Tables'!$B$23,0),'Tax Tables'!$B$25)*'Tax Tables'!$B$26))*1-MIN('Tax Tables'!$B$22*(MAX(H892,0)-IF(Calculator!$B$10="Yes",MIN(MAX(H892,0),'Tax Tables'!$B$27)*'Tax Tables'!$B$28+MIN(MAX(MAX(H892,0)-'Tax Tables'!$B$27,0),'Tax Tables'!$B$29)*'Tax Tables'!$B$30,MIN(MAX(H892,0),'Tax Tables'!$B$23)*'Tax Tables'!$B$24+MIN(MAX(MAX(H892,0)-'Tax Tables'!$B$23,0),'Tax Tables'!$B$25)*'Tax Tables'!$B$26))*Calculator!$B$11,Calculator!$B$12)</f>
        <v>0</v>
      </c>
      <c r="J892" s="11" t="n">
        <f aca="false">MAX(H892,0)-I892</f>
        <v>0</v>
      </c>
      <c r="K892" s="11" t="n">
        <f aca="false">MIN(IF(A892&gt;0,Calculator!$B$13,0)+E892+Calculator!$B$14,'Tax Tables'!$B$36)</f>
        <v>1000</v>
      </c>
      <c r="L892" s="11" t="n">
        <f aca="false">MAX(A892-K892,0)</f>
        <v>438500</v>
      </c>
      <c r="M892" s="11" t="n">
        <f aca="false">SUMPRODUCT((L892&gt;'Tax Tables'!$A$5:$A$17)*(L892-'Tax Tables'!$A$5:$A$17)*'Tax Tables'!$C$5:$C$17)</f>
        <v>70620</v>
      </c>
      <c r="N892" s="11" t="n">
        <f aca="false">IF(H892&lt;0,-1E+099,A892-E892-M892+J892+(E892+F892)*Calculator!$B$9)</f>
        <v>-1E+099</v>
      </c>
      <c r="O892" s="2"/>
      <c r="P892" s="11" t="n">
        <f aca="false">879*$B$3</f>
        <v>439500</v>
      </c>
      <c r="Q892" s="11" t="n">
        <f aca="false">MIN(P892,'Tax Tables'!$B$31*'Tax Tables'!$B$32)</f>
        <v>96000</v>
      </c>
      <c r="R892" s="11" t="n">
        <f aca="false">P892-Q892</f>
        <v>343500</v>
      </c>
      <c r="S892" s="11" t="n">
        <f aca="false">IF(Calculator!$B$6="Yes",MIN(Q892,'Tax Tables'!$B$31*'Tax Tables'!$B$32),0)</f>
        <v>96000</v>
      </c>
      <c r="T892" s="11" t="n">
        <f aca="false">S892*Calculator!$B$7</f>
        <v>19200</v>
      </c>
      <c r="U892" s="11" t="n">
        <f aca="false">S892*Calculator!$B$8</f>
        <v>16320</v>
      </c>
      <c r="V892" s="11" t="n">
        <f aca="false">IF(Q892&gt;0,'Tax Tables'!$B$32*MIN(MAX(Q892/'Tax Tables'!$B$32*'Tax Tables'!$B$33,'Tax Tables'!$B$34),'Tax Tables'!$B$35),0)</f>
        <v>135</v>
      </c>
      <c r="W892" s="11" t="n">
        <f aca="false">Calculator!$B$5-P892-U892-V892</f>
        <v>-55955</v>
      </c>
      <c r="X892" s="11" t="n">
        <f aca="false">'Tax Tables'!$B$22*(MAX(W892,0)-IF(Calculator!$B$10="Yes",MIN(MAX(W892,0),'Tax Tables'!$B$27)*'Tax Tables'!$B$28+MIN(MAX(MAX(W892,0)-'Tax Tables'!$B$27,0),'Tax Tables'!$B$29)*'Tax Tables'!$B$30,MIN(MAX(W892,0),'Tax Tables'!$B$23)*'Tax Tables'!$B$24+MIN(MAX(MAX(W892,0)-'Tax Tables'!$B$23,0),'Tax Tables'!$B$25)*'Tax Tables'!$B$26))*1-MIN('Tax Tables'!$B$22*(MAX(W892,0)-IF(Calculator!$B$10="Yes",MIN(MAX(W892,0),'Tax Tables'!$B$27)*'Tax Tables'!$B$28+MIN(MAX(MAX(W892,0)-'Tax Tables'!$B$27,0),'Tax Tables'!$B$29)*'Tax Tables'!$B$30,MIN(MAX(W892,0),'Tax Tables'!$B$23)*'Tax Tables'!$B$24+MIN(MAX(MAX(W892,0)-'Tax Tables'!$B$23,0),'Tax Tables'!$B$25)*'Tax Tables'!$B$26))*Calculator!$B$11,Calculator!$B$12)</f>
        <v>0</v>
      </c>
      <c r="Y892" s="11" t="n">
        <f aca="false">MAX(W892,0)-X892</f>
        <v>0</v>
      </c>
      <c r="Z892" s="11" t="n">
        <f aca="false">MIN(IF(P892&gt;0,Calculator!$B$13,0)+T892+Calculator!$B$14,'Tax Tables'!$B$36)</f>
        <v>20200</v>
      </c>
      <c r="AA892" s="11" t="n">
        <f aca="false">MAX(P892-Z892,0)</f>
        <v>419300</v>
      </c>
      <c r="AB892" s="11" t="n">
        <f aca="false">SUMPRODUCT((AA892&gt;'Tax Tables'!$A$5:$A$17)*(AA892-'Tax Tables'!$A$5:$A$17)*'Tax Tables'!$C$5:$C$17)</f>
        <v>66396</v>
      </c>
      <c r="AC892" s="11" t="n">
        <f aca="false">IF(W892&lt;0,-1E+099,P892-T892-AB892+Y892+(T892+U892)*Calculator!$B$9)</f>
        <v>-1E+099</v>
      </c>
    </row>
    <row r="893" customFormat="false" ht="15" hidden="false" customHeight="false" outlineLevel="0" collapsed="false">
      <c r="A893" s="11" t="n">
        <f aca="false">880*$B$3</f>
        <v>440000</v>
      </c>
      <c r="B893" s="11" t="n">
        <f aca="false">0</f>
        <v>0</v>
      </c>
      <c r="C893" s="11" t="n">
        <f aca="false">A893-B893</f>
        <v>440000</v>
      </c>
      <c r="D893" s="11" t="n">
        <f aca="false">IF(Calculator!$B$6="Yes",MIN(B893,'Tax Tables'!$B$31*'Tax Tables'!$B$32),0)</f>
        <v>0</v>
      </c>
      <c r="E893" s="11" t="n">
        <f aca="false">D893*Calculator!$B$7</f>
        <v>0</v>
      </c>
      <c r="F893" s="11" t="n">
        <f aca="false">D893*Calculator!$B$8</f>
        <v>0</v>
      </c>
      <c r="G893" s="11" t="n">
        <f aca="false">IF(B893&gt;0,'Tax Tables'!$B$32*MIN(MAX(B893/'Tax Tables'!$B$32*'Tax Tables'!$B$33,'Tax Tables'!$B$34),'Tax Tables'!$B$35),0)</f>
        <v>0</v>
      </c>
      <c r="H893" s="11" t="n">
        <f aca="false">Calculator!$B$5-A893-F893-G893</f>
        <v>-40000</v>
      </c>
      <c r="I893" s="11" t="n">
        <f aca="false">'Tax Tables'!$B$22*(MAX(H893,0)-IF(Calculator!$B$10="Yes",MIN(MAX(H893,0),'Tax Tables'!$B$27)*'Tax Tables'!$B$28+MIN(MAX(MAX(H893,0)-'Tax Tables'!$B$27,0),'Tax Tables'!$B$29)*'Tax Tables'!$B$30,MIN(MAX(H893,0),'Tax Tables'!$B$23)*'Tax Tables'!$B$24+MIN(MAX(MAX(H893,0)-'Tax Tables'!$B$23,0),'Tax Tables'!$B$25)*'Tax Tables'!$B$26))*1-MIN('Tax Tables'!$B$22*(MAX(H893,0)-IF(Calculator!$B$10="Yes",MIN(MAX(H893,0),'Tax Tables'!$B$27)*'Tax Tables'!$B$28+MIN(MAX(MAX(H893,0)-'Tax Tables'!$B$27,0),'Tax Tables'!$B$29)*'Tax Tables'!$B$30,MIN(MAX(H893,0),'Tax Tables'!$B$23)*'Tax Tables'!$B$24+MIN(MAX(MAX(H893,0)-'Tax Tables'!$B$23,0),'Tax Tables'!$B$25)*'Tax Tables'!$B$26))*Calculator!$B$11,Calculator!$B$12)</f>
        <v>0</v>
      </c>
      <c r="J893" s="11" t="n">
        <f aca="false">MAX(H893,0)-I893</f>
        <v>0</v>
      </c>
      <c r="K893" s="11" t="n">
        <f aca="false">MIN(IF(A893&gt;0,Calculator!$B$13,0)+E893+Calculator!$B$14,'Tax Tables'!$B$36)</f>
        <v>1000</v>
      </c>
      <c r="L893" s="11" t="n">
        <f aca="false">MAX(A893-K893,0)</f>
        <v>439000</v>
      </c>
      <c r="M893" s="11" t="n">
        <f aca="false">SUMPRODUCT((L893&gt;'Tax Tables'!$A$5:$A$17)*(L893-'Tax Tables'!$A$5:$A$17)*'Tax Tables'!$C$5:$C$17)</f>
        <v>70730</v>
      </c>
      <c r="N893" s="11" t="n">
        <f aca="false">IF(H893&lt;0,-1E+099,A893-E893-M893+J893+(E893+F893)*Calculator!$B$9)</f>
        <v>-1E+099</v>
      </c>
      <c r="O893" s="2"/>
      <c r="P893" s="11" t="n">
        <f aca="false">880*$B$3</f>
        <v>440000</v>
      </c>
      <c r="Q893" s="11" t="n">
        <f aca="false">MIN(P893,'Tax Tables'!$B$31*'Tax Tables'!$B$32)</f>
        <v>96000</v>
      </c>
      <c r="R893" s="11" t="n">
        <f aca="false">P893-Q893</f>
        <v>344000</v>
      </c>
      <c r="S893" s="11" t="n">
        <f aca="false">IF(Calculator!$B$6="Yes",MIN(Q893,'Tax Tables'!$B$31*'Tax Tables'!$B$32),0)</f>
        <v>96000</v>
      </c>
      <c r="T893" s="11" t="n">
        <f aca="false">S893*Calculator!$B$7</f>
        <v>19200</v>
      </c>
      <c r="U893" s="11" t="n">
        <f aca="false">S893*Calculator!$B$8</f>
        <v>16320</v>
      </c>
      <c r="V893" s="11" t="n">
        <f aca="false">IF(Q893&gt;0,'Tax Tables'!$B$32*MIN(MAX(Q893/'Tax Tables'!$B$32*'Tax Tables'!$B$33,'Tax Tables'!$B$34),'Tax Tables'!$B$35),0)</f>
        <v>135</v>
      </c>
      <c r="W893" s="11" t="n">
        <f aca="false">Calculator!$B$5-P893-U893-V893</f>
        <v>-56455</v>
      </c>
      <c r="X893" s="11" t="n">
        <f aca="false">'Tax Tables'!$B$22*(MAX(W893,0)-IF(Calculator!$B$10="Yes",MIN(MAX(W893,0),'Tax Tables'!$B$27)*'Tax Tables'!$B$28+MIN(MAX(MAX(W893,0)-'Tax Tables'!$B$27,0),'Tax Tables'!$B$29)*'Tax Tables'!$B$30,MIN(MAX(W893,0),'Tax Tables'!$B$23)*'Tax Tables'!$B$24+MIN(MAX(MAX(W893,0)-'Tax Tables'!$B$23,0),'Tax Tables'!$B$25)*'Tax Tables'!$B$26))*1-MIN('Tax Tables'!$B$22*(MAX(W893,0)-IF(Calculator!$B$10="Yes",MIN(MAX(W893,0),'Tax Tables'!$B$27)*'Tax Tables'!$B$28+MIN(MAX(MAX(W893,0)-'Tax Tables'!$B$27,0),'Tax Tables'!$B$29)*'Tax Tables'!$B$30,MIN(MAX(W893,0),'Tax Tables'!$B$23)*'Tax Tables'!$B$24+MIN(MAX(MAX(W893,0)-'Tax Tables'!$B$23,0),'Tax Tables'!$B$25)*'Tax Tables'!$B$26))*Calculator!$B$11,Calculator!$B$12)</f>
        <v>0</v>
      </c>
      <c r="Y893" s="11" t="n">
        <f aca="false">MAX(W893,0)-X893</f>
        <v>0</v>
      </c>
      <c r="Z893" s="11" t="n">
        <f aca="false">MIN(IF(P893&gt;0,Calculator!$B$13,0)+T893+Calculator!$B$14,'Tax Tables'!$B$36)</f>
        <v>20200</v>
      </c>
      <c r="AA893" s="11" t="n">
        <f aca="false">MAX(P893-Z893,0)</f>
        <v>419800</v>
      </c>
      <c r="AB893" s="11" t="n">
        <f aca="false">SUMPRODUCT((AA893&gt;'Tax Tables'!$A$5:$A$17)*(AA893-'Tax Tables'!$A$5:$A$17)*'Tax Tables'!$C$5:$C$17)</f>
        <v>66506</v>
      </c>
      <c r="AC893" s="11" t="n">
        <f aca="false">IF(W893&lt;0,-1E+099,P893-T893-AB893+Y893+(T893+U893)*Calculator!$B$9)</f>
        <v>-1E+099</v>
      </c>
    </row>
    <row r="894" customFormat="false" ht="15" hidden="false" customHeight="false" outlineLevel="0" collapsed="false">
      <c r="A894" s="11" t="n">
        <f aca="false">881*$B$3</f>
        <v>440500</v>
      </c>
      <c r="B894" s="11" t="n">
        <f aca="false">0</f>
        <v>0</v>
      </c>
      <c r="C894" s="11" t="n">
        <f aca="false">A894-B894</f>
        <v>440500</v>
      </c>
      <c r="D894" s="11" t="n">
        <f aca="false">IF(Calculator!$B$6="Yes",MIN(B894,'Tax Tables'!$B$31*'Tax Tables'!$B$32),0)</f>
        <v>0</v>
      </c>
      <c r="E894" s="11" t="n">
        <f aca="false">D894*Calculator!$B$7</f>
        <v>0</v>
      </c>
      <c r="F894" s="11" t="n">
        <f aca="false">D894*Calculator!$B$8</f>
        <v>0</v>
      </c>
      <c r="G894" s="11" t="n">
        <f aca="false">IF(B894&gt;0,'Tax Tables'!$B$32*MIN(MAX(B894/'Tax Tables'!$B$32*'Tax Tables'!$B$33,'Tax Tables'!$B$34),'Tax Tables'!$B$35),0)</f>
        <v>0</v>
      </c>
      <c r="H894" s="11" t="n">
        <f aca="false">Calculator!$B$5-A894-F894-G894</f>
        <v>-40500</v>
      </c>
      <c r="I894" s="11" t="n">
        <f aca="false">'Tax Tables'!$B$22*(MAX(H894,0)-IF(Calculator!$B$10="Yes",MIN(MAX(H894,0),'Tax Tables'!$B$27)*'Tax Tables'!$B$28+MIN(MAX(MAX(H894,0)-'Tax Tables'!$B$27,0),'Tax Tables'!$B$29)*'Tax Tables'!$B$30,MIN(MAX(H894,0),'Tax Tables'!$B$23)*'Tax Tables'!$B$24+MIN(MAX(MAX(H894,0)-'Tax Tables'!$B$23,0),'Tax Tables'!$B$25)*'Tax Tables'!$B$26))*1-MIN('Tax Tables'!$B$22*(MAX(H894,0)-IF(Calculator!$B$10="Yes",MIN(MAX(H894,0),'Tax Tables'!$B$27)*'Tax Tables'!$B$28+MIN(MAX(MAX(H894,0)-'Tax Tables'!$B$27,0),'Tax Tables'!$B$29)*'Tax Tables'!$B$30,MIN(MAX(H894,0),'Tax Tables'!$B$23)*'Tax Tables'!$B$24+MIN(MAX(MAX(H894,0)-'Tax Tables'!$B$23,0),'Tax Tables'!$B$25)*'Tax Tables'!$B$26))*Calculator!$B$11,Calculator!$B$12)</f>
        <v>0</v>
      </c>
      <c r="J894" s="11" t="n">
        <f aca="false">MAX(H894,0)-I894</f>
        <v>0</v>
      </c>
      <c r="K894" s="11" t="n">
        <f aca="false">MIN(IF(A894&gt;0,Calculator!$B$13,0)+E894+Calculator!$B$14,'Tax Tables'!$B$36)</f>
        <v>1000</v>
      </c>
      <c r="L894" s="11" t="n">
        <f aca="false">MAX(A894-K894,0)</f>
        <v>439500</v>
      </c>
      <c r="M894" s="11" t="n">
        <f aca="false">SUMPRODUCT((L894&gt;'Tax Tables'!$A$5:$A$17)*(L894-'Tax Tables'!$A$5:$A$17)*'Tax Tables'!$C$5:$C$17)</f>
        <v>70840</v>
      </c>
      <c r="N894" s="11" t="n">
        <f aca="false">IF(H894&lt;0,-1E+099,A894-E894-M894+J894+(E894+F894)*Calculator!$B$9)</f>
        <v>-1E+099</v>
      </c>
      <c r="O894" s="2"/>
      <c r="P894" s="11" t="n">
        <f aca="false">881*$B$3</f>
        <v>440500</v>
      </c>
      <c r="Q894" s="11" t="n">
        <f aca="false">MIN(P894,'Tax Tables'!$B$31*'Tax Tables'!$B$32)</f>
        <v>96000</v>
      </c>
      <c r="R894" s="11" t="n">
        <f aca="false">P894-Q894</f>
        <v>344500</v>
      </c>
      <c r="S894" s="11" t="n">
        <f aca="false">IF(Calculator!$B$6="Yes",MIN(Q894,'Tax Tables'!$B$31*'Tax Tables'!$B$32),0)</f>
        <v>96000</v>
      </c>
      <c r="T894" s="11" t="n">
        <f aca="false">S894*Calculator!$B$7</f>
        <v>19200</v>
      </c>
      <c r="U894" s="11" t="n">
        <f aca="false">S894*Calculator!$B$8</f>
        <v>16320</v>
      </c>
      <c r="V894" s="11" t="n">
        <f aca="false">IF(Q894&gt;0,'Tax Tables'!$B$32*MIN(MAX(Q894/'Tax Tables'!$B$32*'Tax Tables'!$B$33,'Tax Tables'!$B$34),'Tax Tables'!$B$35),0)</f>
        <v>135</v>
      </c>
      <c r="W894" s="11" t="n">
        <f aca="false">Calculator!$B$5-P894-U894-V894</f>
        <v>-56955</v>
      </c>
      <c r="X894" s="11" t="n">
        <f aca="false">'Tax Tables'!$B$22*(MAX(W894,0)-IF(Calculator!$B$10="Yes",MIN(MAX(W894,0),'Tax Tables'!$B$27)*'Tax Tables'!$B$28+MIN(MAX(MAX(W894,0)-'Tax Tables'!$B$27,0),'Tax Tables'!$B$29)*'Tax Tables'!$B$30,MIN(MAX(W894,0),'Tax Tables'!$B$23)*'Tax Tables'!$B$24+MIN(MAX(MAX(W894,0)-'Tax Tables'!$B$23,0),'Tax Tables'!$B$25)*'Tax Tables'!$B$26))*1-MIN('Tax Tables'!$B$22*(MAX(W894,0)-IF(Calculator!$B$10="Yes",MIN(MAX(W894,0),'Tax Tables'!$B$27)*'Tax Tables'!$B$28+MIN(MAX(MAX(W894,0)-'Tax Tables'!$B$27,0),'Tax Tables'!$B$29)*'Tax Tables'!$B$30,MIN(MAX(W894,0),'Tax Tables'!$B$23)*'Tax Tables'!$B$24+MIN(MAX(MAX(W894,0)-'Tax Tables'!$B$23,0),'Tax Tables'!$B$25)*'Tax Tables'!$B$26))*Calculator!$B$11,Calculator!$B$12)</f>
        <v>0</v>
      </c>
      <c r="Y894" s="11" t="n">
        <f aca="false">MAX(W894,0)-X894</f>
        <v>0</v>
      </c>
      <c r="Z894" s="11" t="n">
        <f aca="false">MIN(IF(P894&gt;0,Calculator!$B$13,0)+T894+Calculator!$B$14,'Tax Tables'!$B$36)</f>
        <v>20200</v>
      </c>
      <c r="AA894" s="11" t="n">
        <f aca="false">MAX(P894-Z894,0)</f>
        <v>420300</v>
      </c>
      <c r="AB894" s="11" t="n">
        <f aca="false">SUMPRODUCT((AA894&gt;'Tax Tables'!$A$5:$A$17)*(AA894-'Tax Tables'!$A$5:$A$17)*'Tax Tables'!$C$5:$C$17)</f>
        <v>66616</v>
      </c>
      <c r="AC894" s="11" t="n">
        <f aca="false">IF(W894&lt;0,-1E+099,P894-T894-AB894+Y894+(T894+U894)*Calculator!$B$9)</f>
        <v>-1E+099</v>
      </c>
    </row>
    <row r="895" customFormat="false" ht="15" hidden="false" customHeight="false" outlineLevel="0" collapsed="false">
      <c r="A895" s="11" t="n">
        <f aca="false">882*$B$3</f>
        <v>441000</v>
      </c>
      <c r="B895" s="11" t="n">
        <f aca="false">0</f>
        <v>0</v>
      </c>
      <c r="C895" s="11" t="n">
        <f aca="false">A895-B895</f>
        <v>441000</v>
      </c>
      <c r="D895" s="11" t="n">
        <f aca="false">IF(Calculator!$B$6="Yes",MIN(B895,'Tax Tables'!$B$31*'Tax Tables'!$B$32),0)</f>
        <v>0</v>
      </c>
      <c r="E895" s="11" t="n">
        <f aca="false">D895*Calculator!$B$7</f>
        <v>0</v>
      </c>
      <c r="F895" s="11" t="n">
        <f aca="false">D895*Calculator!$B$8</f>
        <v>0</v>
      </c>
      <c r="G895" s="11" t="n">
        <f aca="false">IF(B895&gt;0,'Tax Tables'!$B$32*MIN(MAX(B895/'Tax Tables'!$B$32*'Tax Tables'!$B$33,'Tax Tables'!$B$34),'Tax Tables'!$B$35),0)</f>
        <v>0</v>
      </c>
      <c r="H895" s="11" t="n">
        <f aca="false">Calculator!$B$5-A895-F895-G895</f>
        <v>-41000</v>
      </c>
      <c r="I895" s="11" t="n">
        <f aca="false">'Tax Tables'!$B$22*(MAX(H895,0)-IF(Calculator!$B$10="Yes",MIN(MAX(H895,0),'Tax Tables'!$B$27)*'Tax Tables'!$B$28+MIN(MAX(MAX(H895,0)-'Tax Tables'!$B$27,0),'Tax Tables'!$B$29)*'Tax Tables'!$B$30,MIN(MAX(H895,0),'Tax Tables'!$B$23)*'Tax Tables'!$B$24+MIN(MAX(MAX(H895,0)-'Tax Tables'!$B$23,0),'Tax Tables'!$B$25)*'Tax Tables'!$B$26))*1-MIN('Tax Tables'!$B$22*(MAX(H895,0)-IF(Calculator!$B$10="Yes",MIN(MAX(H895,0),'Tax Tables'!$B$27)*'Tax Tables'!$B$28+MIN(MAX(MAX(H895,0)-'Tax Tables'!$B$27,0),'Tax Tables'!$B$29)*'Tax Tables'!$B$30,MIN(MAX(H895,0),'Tax Tables'!$B$23)*'Tax Tables'!$B$24+MIN(MAX(MAX(H895,0)-'Tax Tables'!$B$23,0),'Tax Tables'!$B$25)*'Tax Tables'!$B$26))*Calculator!$B$11,Calculator!$B$12)</f>
        <v>0</v>
      </c>
      <c r="J895" s="11" t="n">
        <f aca="false">MAX(H895,0)-I895</f>
        <v>0</v>
      </c>
      <c r="K895" s="11" t="n">
        <f aca="false">MIN(IF(A895&gt;0,Calculator!$B$13,0)+E895+Calculator!$B$14,'Tax Tables'!$B$36)</f>
        <v>1000</v>
      </c>
      <c r="L895" s="11" t="n">
        <f aca="false">MAX(A895-K895,0)</f>
        <v>440000</v>
      </c>
      <c r="M895" s="11" t="n">
        <f aca="false">SUMPRODUCT((L895&gt;'Tax Tables'!$A$5:$A$17)*(L895-'Tax Tables'!$A$5:$A$17)*'Tax Tables'!$C$5:$C$17)</f>
        <v>70950</v>
      </c>
      <c r="N895" s="11" t="n">
        <f aca="false">IF(H895&lt;0,-1E+099,A895-E895-M895+J895+(E895+F895)*Calculator!$B$9)</f>
        <v>-1E+099</v>
      </c>
      <c r="O895" s="2"/>
      <c r="P895" s="11" t="n">
        <f aca="false">882*$B$3</f>
        <v>441000</v>
      </c>
      <c r="Q895" s="11" t="n">
        <f aca="false">MIN(P895,'Tax Tables'!$B$31*'Tax Tables'!$B$32)</f>
        <v>96000</v>
      </c>
      <c r="R895" s="11" t="n">
        <f aca="false">P895-Q895</f>
        <v>345000</v>
      </c>
      <c r="S895" s="11" t="n">
        <f aca="false">IF(Calculator!$B$6="Yes",MIN(Q895,'Tax Tables'!$B$31*'Tax Tables'!$B$32),0)</f>
        <v>96000</v>
      </c>
      <c r="T895" s="11" t="n">
        <f aca="false">S895*Calculator!$B$7</f>
        <v>19200</v>
      </c>
      <c r="U895" s="11" t="n">
        <f aca="false">S895*Calculator!$B$8</f>
        <v>16320</v>
      </c>
      <c r="V895" s="11" t="n">
        <f aca="false">IF(Q895&gt;0,'Tax Tables'!$B$32*MIN(MAX(Q895/'Tax Tables'!$B$32*'Tax Tables'!$B$33,'Tax Tables'!$B$34),'Tax Tables'!$B$35),0)</f>
        <v>135</v>
      </c>
      <c r="W895" s="11" t="n">
        <f aca="false">Calculator!$B$5-P895-U895-V895</f>
        <v>-57455</v>
      </c>
      <c r="X895" s="11" t="n">
        <f aca="false">'Tax Tables'!$B$22*(MAX(W895,0)-IF(Calculator!$B$10="Yes",MIN(MAX(W895,0),'Tax Tables'!$B$27)*'Tax Tables'!$B$28+MIN(MAX(MAX(W895,0)-'Tax Tables'!$B$27,0),'Tax Tables'!$B$29)*'Tax Tables'!$B$30,MIN(MAX(W895,0),'Tax Tables'!$B$23)*'Tax Tables'!$B$24+MIN(MAX(MAX(W895,0)-'Tax Tables'!$B$23,0),'Tax Tables'!$B$25)*'Tax Tables'!$B$26))*1-MIN('Tax Tables'!$B$22*(MAX(W895,0)-IF(Calculator!$B$10="Yes",MIN(MAX(W895,0),'Tax Tables'!$B$27)*'Tax Tables'!$B$28+MIN(MAX(MAX(W895,0)-'Tax Tables'!$B$27,0),'Tax Tables'!$B$29)*'Tax Tables'!$B$30,MIN(MAX(W895,0),'Tax Tables'!$B$23)*'Tax Tables'!$B$24+MIN(MAX(MAX(W895,0)-'Tax Tables'!$B$23,0),'Tax Tables'!$B$25)*'Tax Tables'!$B$26))*Calculator!$B$11,Calculator!$B$12)</f>
        <v>0</v>
      </c>
      <c r="Y895" s="11" t="n">
        <f aca="false">MAX(W895,0)-X895</f>
        <v>0</v>
      </c>
      <c r="Z895" s="11" t="n">
        <f aca="false">MIN(IF(P895&gt;0,Calculator!$B$13,0)+T895+Calculator!$B$14,'Tax Tables'!$B$36)</f>
        <v>20200</v>
      </c>
      <c r="AA895" s="11" t="n">
        <f aca="false">MAX(P895-Z895,0)</f>
        <v>420800</v>
      </c>
      <c r="AB895" s="11" t="n">
        <f aca="false">SUMPRODUCT((AA895&gt;'Tax Tables'!$A$5:$A$17)*(AA895-'Tax Tables'!$A$5:$A$17)*'Tax Tables'!$C$5:$C$17)</f>
        <v>66726</v>
      </c>
      <c r="AC895" s="11" t="n">
        <f aca="false">IF(W895&lt;0,-1E+099,P895-T895-AB895+Y895+(T895+U895)*Calculator!$B$9)</f>
        <v>-1E+099</v>
      </c>
    </row>
    <row r="896" customFormat="false" ht="15" hidden="false" customHeight="false" outlineLevel="0" collapsed="false">
      <c r="A896" s="11" t="n">
        <f aca="false">883*$B$3</f>
        <v>441500</v>
      </c>
      <c r="B896" s="11" t="n">
        <f aca="false">0</f>
        <v>0</v>
      </c>
      <c r="C896" s="11" t="n">
        <f aca="false">A896-B896</f>
        <v>441500</v>
      </c>
      <c r="D896" s="11" t="n">
        <f aca="false">IF(Calculator!$B$6="Yes",MIN(B896,'Tax Tables'!$B$31*'Tax Tables'!$B$32),0)</f>
        <v>0</v>
      </c>
      <c r="E896" s="11" t="n">
        <f aca="false">D896*Calculator!$B$7</f>
        <v>0</v>
      </c>
      <c r="F896" s="11" t="n">
        <f aca="false">D896*Calculator!$B$8</f>
        <v>0</v>
      </c>
      <c r="G896" s="11" t="n">
        <f aca="false">IF(B896&gt;0,'Tax Tables'!$B$32*MIN(MAX(B896/'Tax Tables'!$B$32*'Tax Tables'!$B$33,'Tax Tables'!$B$34),'Tax Tables'!$B$35),0)</f>
        <v>0</v>
      </c>
      <c r="H896" s="11" t="n">
        <f aca="false">Calculator!$B$5-A896-F896-G896</f>
        <v>-41500</v>
      </c>
      <c r="I896" s="11" t="n">
        <f aca="false">'Tax Tables'!$B$22*(MAX(H896,0)-IF(Calculator!$B$10="Yes",MIN(MAX(H896,0),'Tax Tables'!$B$27)*'Tax Tables'!$B$28+MIN(MAX(MAX(H896,0)-'Tax Tables'!$B$27,0),'Tax Tables'!$B$29)*'Tax Tables'!$B$30,MIN(MAX(H896,0),'Tax Tables'!$B$23)*'Tax Tables'!$B$24+MIN(MAX(MAX(H896,0)-'Tax Tables'!$B$23,0),'Tax Tables'!$B$25)*'Tax Tables'!$B$26))*1-MIN('Tax Tables'!$B$22*(MAX(H896,0)-IF(Calculator!$B$10="Yes",MIN(MAX(H896,0),'Tax Tables'!$B$27)*'Tax Tables'!$B$28+MIN(MAX(MAX(H896,0)-'Tax Tables'!$B$27,0),'Tax Tables'!$B$29)*'Tax Tables'!$B$30,MIN(MAX(H896,0),'Tax Tables'!$B$23)*'Tax Tables'!$B$24+MIN(MAX(MAX(H896,0)-'Tax Tables'!$B$23,0),'Tax Tables'!$B$25)*'Tax Tables'!$B$26))*Calculator!$B$11,Calculator!$B$12)</f>
        <v>0</v>
      </c>
      <c r="J896" s="11" t="n">
        <f aca="false">MAX(H896,0)-I896</f>
        <v>0</v>
      </c>
      <c r="K896" s="11" t="n">
        <f aca="false">MIN(IF(A896&gt;0,Calculator!$B$13,0)+E896+Calculator!$B$14,'Tax Tables'!$B$36)</f>
        <v>1000</v>
      </c>
      <c r="L896" s="11" t="n">
        <f aca="false">MAX(A896-K896,0)</f>
        <v>440500</v>
      </c>
      <c r="M896" s="11" t="n">
        <f aca="false">SUMPRODUCT((L896&gt;'Tax Tables'!$A$5:$A$17)*(L896-'Tax Tables'!$A$5:$A$17)*'Tax Tables'!$C$5:$C$17)</f>
        <v>71060</v>
      </c>
      <c r="N896" s="11" t="n">
        <f aca="false">IF(H896&lt;0,-1E+099,A896-E896-M896+J896+(E896+F896)*Calculator!$B$9)</f>
        <v>-1E+099</v>
      </c>
      <c r="O896" s="2"/>
      <c r="P896" s="11" t="n">
        <f aca="false">883*$B$3</f>
        <v>441500</v>
      </c>
      <c r="Q896" s="11" t="n">
        <f aca="false">MIN(P896,'Tax Tables'!$B$31*'Tax Tables'!$B$32)</f>
        <v>96000</v>
      </c>
      <c r="R896" s="11" t="n">
        <f aca="false">P896-Q896</f>
        <v>345500</v>
      </c>
      <c r="S896" s="11" t="n">
        <f aca="false">IF(Calculator!$B$6="Yes",MIN(Q896,'Tax Tables'!$B$31*'Tax Tables'!$B$32),0)</f>
        <v>96000</v>
      </c>
      <c r="T896" s="11" t="n">
        <f aca="false">S896*Calculator!$B$7</f>
        <v>19200</v>
      </c>
      <c r="U896" s="11" t="n">
        <f aca="false">S896*Calculator!$B$8</f>
        <v>16320</v>
      </c>
      <c r="V896" s="11" t="n">
        <f aca="false">IF(Q896&gt;0,'Tax Tables'!$B$32*MIN(MAX(Q896/'Tax Tables'!$B$32*'Tax Tables'!$B$33,'Tax Tables'!$B$34),'Tax Tables'!$B$35),0)</f>
        <v>135</v>
      </c>
      <c r="W896" s="11" t="n">
        <f aca="false">Calculator!$B$5-P896-U896-V896</f>
        <v>-57955</v>
      </c>
      <c r="X896" s="11" t="n">
        <f aca="false">'Tax Tables'!$B$22*(MAX(W896,0)-IF(Calculator!$B$10="Yes",MIN(MAX(W896,0),'Tax Tables'!$B$27)*'Tax Tables'!$B$28+MIN(MAX(MAX(W896,0)-'Tax Tables'!$B$27,0),'Tax Tables'!$B$29)*'Tax Tables'!$B$30,MIN(MAX(W896,0),'Tax Tables'!$B$23)*'Tax Tables'!$B$24+MIN(MAX(MAX(W896,0)-'Tax Tables'!$B$23,0),'Tax Tables'!$B$25)*'Tax Tables'!$B$26))*1-MIN('Tax Tables'!$B$22*(MAX(W896,0)-IF(Calculator!$B$10="Yes",MIN(MAX(W896,0),'Tax Tables'!$B$27)*'Tax Tables'!$B$28+MIN(MAX(MAX(W896,0)-'Tax Tables'!$B$27,0),'Tax Tables'!$B$29)*'Tax Tables'!$B$30,MIN(MAX(W896,0),'Tax Tables'!$B$23)*'Tax Tables'!$B$24+MIN(MAX(MAX(W896,0)-'Tax Tables'!$B$23,0),'Tax Tables'!$B$25)*'Tax Tables'!$B$26))*Calculator!$B$11,Calculator!$B$12)</f>
        <v>0</v>
      </c>
      <c r="Y896" s="11" t="n">
        <f aca="false">MAX(W896,0)-X896</f>
        <v>0</v>
      </c>
      <c r="Z896" s="11" t="n">
        <f aca="false">MIN(IF(P896&gt;0,Calculator!$B$13,0)+T896+Calculator!$B$14,'Tax Tables'!$B$36)</f>
        <v>20200</v>
      </c>
      <c r="AA896" s="11" t="n">
        <f aca="false">MAX(P896-Z896,0)</f>
        <v>421300</v>
      </c>
      <c r="AB896" s="11" t="n">
        <f aca="false">SUMPRODUCT((AA896&gt;'Tax Tables'!$A$5:$A$17)*(AA896-'Tax Tables'!$A$5:$A$17)*'Tax Tables'!$C$5:$C$17)</f>
        <v>66836</v>
      </c>
      <c r="AC896" s="11" t="n">
        <f aca="false">IF(W896&lt;0,-1E+099,P896-T896-AB896+Y896+(T896+U896)*Calculator!$B$9)</f>
        <v>-1E+099</v>
      </c>
    </row>
    <row r="897" customFormat="false" ht="15" hidden="false" customHeight="false" outlineLevel="0" collapsed="false">
      <c r="A897" s="11" t="n">
        <f aca="false">884*$B$3</f>
        <v>442000</v>
      </c>
      <c r="B897" s="11" t="n">
        <f aca="false">0</f>
        <v>0</v>
      </c>
      <c r="C897" s="11" t="n">
        <f aca="false">A897-B897</f>
        <v>442000</v>
      </c>
      <c r="D897" s="11" t="n">
        <f aca="false">IF(Calculator!$B$6="Yes",MIN(B897,'Tax Tables'!$B$31*'Tax Tables'!$B$32),0)</f>
        <v>0</v>
      </c>
      <c r="E897" s="11" t="n">
        <f aca="false">D897*Calculator!$B$7</f>
        <v>0</v>
      </c>
      <c r="F897" s="11" t="n">
        <f aca="false">D897*Calculator!$B$8</f>
        <v>0</v>
      </c>
      <c r="G897" s="11" t="n">
        <f aca="false">IF(B897&gt;0,'Tax Tables'!$B$32*MIN(MAX(B897/'Tax Tables'!$B$32*'Tax Tables'!$B$33,'Tax Tables'!$B$34),'Tax Tables'!$B$35),0)</f>
        <v>0</v>
      </c>
      <c r="H897" s="11" t="n">
        <f aca="false">Calculator!$B$5-A897-F897-G897</f>
        <v>-42000</v>
      </c>
      <c r="I897" s="11" t="n">
        <f aca="false">'Tax Tables'!$B$22*(MAX(H897,0)-IF(Calculator!$B$10="Yes",MIN(MAX(H897,0),'Tax Tables'!$B$27)*'Tax Tables'!$B$28+MIN(MAX(MAX(H897,0)-'Tax Tables'!$B$27,0),'Tax Tables'!$B$29)*'Tax Tables'!$B$30,MIN(MAX(H897,0),'Tax Tables'!$B$23)*'Tax Tables'!$B$24+MIN(MAX(MAX(H897,0)-'Tax Tables'!$B$23,0),'Tax Tables'!$B$25)*'Tax Tables'!$B$26))*1-MIN('Tax Tables'!$B$22*(MAX(H897,0)-IF(Calculator!$B$10="Yes",MIN(MAX(H897,0),'Tax Tables'!$B$27)*'Tax Tables'!$B$28+MIN(MAX(MAX(H897,0)-'Tax Tables'!$B$27,0),'Tax Tables'!$B$29)*'Tax Tables'!$B$30,MIN(MAX(H897,0),'Tax Tables'!$B$23)*'Tax Tables'!$B$24+MIN(MAX(MAX(H897,0)-'Tax Tables'!$B$23,0),'Tax Tables'!$B$25)*'Tax Tables'!$B$26))*Calculator!$B$11,Calculator!$B$12)</f>
        <v>0</v>
      </c>
      <c r="J897" s="11" t="n">
        <f aca="false">MAX(H897,0)-I897</f>
        <v>0</v>
      </c>
      <c r="K897" s="11" t="n">
        <f aca="false">MIN(IF(A897&gt;0,Calculator!$B$13,0)+E897+Calculator!$B$14,'Tax Tables'!$B$36)</f>
        <v>1000</v>
      </c>
      <c r="L897" s="11" t="n">
        <f aca="false">MAX(A897-K897,0)</f>
        <v>441000</v>
      </c>
      <c r="M897" s="11" t="n">
        <f aca="false">SUMPRODUCT((L897&gt;'Tax Tables'!$A$5:$A$17)*(L897-'Tax Tables'!$A$5:$A$17)*'Tax Tables'!$C$5:$C$17)</f>
        <v>71170</v>
      </c>
      <c r="N897" s="11" t="n">
        <f aca="false">IF(H897&lt;0,-1E+099,A897-E897-M897+J897+(E897+F897)*Calculator!$B$9)</f>
        <v>-1E+099</v>
      </c>
      <c r="O897" s="2"/>
      <c r="P897" s="11" t="n">
        <f aca="false">884*$B$3</f>
        <v>442000</v>
      </c>
      <c r="Q897" s="11" t="n">
        <f aca="false">MIN(P897,'Tax Tables'!$B$31*'Tax Tables'!$B$32)</f>
        <v>96000</v>
      </c>
      <c r="R897" s="11" t="n">
        <f aca="false">P897-Q897</f>
        <v>346000</v>
      </c>
      <c r="S897" s="11" t="n">
        <f aca="false">IF(Calculator!$B$6="Yes",MIN(Q897,'Tax Tables'!$B$31*'Tax Tables'!$B$32),0)</f>
        <v>96000</v>
      </c>
      <c r="T897" s="11" t="n">
        <f aca="false">S897*Calculator!$B$7</f>
        <v>19200</v>
      </c>
      <c r="U897" s="11" t="n">
        <f aca="false">S897*Calculator!$B$8</f>
        <v>16320</v>
      </c>
      <c r="V897" s="11" t="n">
        <f aca="false">IF(Q897&gt;0,'Tax Tables'!$B$32*MIN(MAX(Q897/'Tax Tables'!$B$32*'Tax Tables'!$B$33,'Tax Tables'!$B$34),'Tax Tables'!$B$35),0)</f>
        <v>135</v>
      </c>
      <c r="W897" s="11" t="n">
        <f aca="false">Calculator!$B$5-P897-U897-V897</f>
        <v>-58455</v>
      </c>
      <c r="X897" s="11" t="n">
        <f aca="false">'Tax Tables'!$B$22*(MAX(W897,0)-IF(Calculator!$B$10="Yes",MIN(MAX(W897,0),'Tax Tables'!$B$27)*'Tax Tables'!$B$28+MIN(MAX(MAX(W897,0)-'Tax Tables'!$B$27,0),'Tax Tables'!$B$29)*'Tax Tables'!$B$30,MIN(MAX(W897,0),'Tax Tables'!$B$23)*'Tax Tables'!$B$24+MIN(MAX(MAX(W897,0)-'Tax Tables'!$B$23,0),'Tax Tables'!$B$25)*'Tax Tables'!$B$26))*1-MIN('Tax Tables'!$B$22*(MAX(W897,0)-IF(Calculator!$B$10="Yes",MIN(MAX(W897,0),'Tax Tables'!$B$27)*'Tax Tables'!$B$28+MIN(MAX(MAX(W897,0)-'Tax Tables'!$B$27,0),'Tax Tables'!$B$29)*'Tax Tables'!$B$30,MIN(MAX(W897,0),'Tax Tables'!$B$23)*'Tax Tables'!$B$24+MIN(MAX(MAX(W897,0)-'Tax Tables'!$B$23,0),'Tax Tables'!$B$25)*'Tax Tables'!$B$26))*Calculator!$B$11,Calculator!$B$12)</f>
        <v>0</v>
      </c>
      <c r="Y897" s="11" t="n">
        <f aca="false">MAX(W897,0)-X897</f>
        <v>0</v>
      </c>
      <c r="Z897" s="11" t="n">
        <f aca="false">MIN(IF(P897&gt;0,Calculator!$B$13,0)+T897+Calculator!$B$14,'Tax Tables'!$B$36)</f>
        <v>20200</v>
      </c>
      <c r="AA897" s="11" t="n">
        <f aca="false">MAX(P897-Z897,0)</f>
        <v>421800</v>
      </c>
      <c r="AB897" s="11" t="n">
        <f aca="false">SUMPRODUCT((AA897&gt;'Tax Tables'!$A$5:$A$17)*(AA897-'Tax Tables'!$A$5:$A$17)*'Tax Tables'!$C$5:$C$17)</f>
        <v>66946</v>
      </c>
      <c r="AC897" s="11" t="n">
        <f aca="false">IF(W897&lt;0,-1E+099,P897-T897-AB897+Y897+(T897+U897)*Calculator!$B$9)</f>
        <v>-1E+099</v>
      </c>
    </row>
    <row r="898" customFormat="false" ht="15" hidden="false" customHeight="false" outlineLevel="0" collapsed="false">
      <c r="A898" s="11" t="n">
        <f aca="false">885*$B$3</f>
        <v>442500</v>
      </c>
      <c r="B898" s="11" t="n">
        <f aca="false">0</f>
        <v>0</v>
      </c>
      <c r="C898" s="11" t="n">
        <f aca="false">A898-B898</f>
        <v>442500</v>
      </c>
      <c r="D898" s="11" t="n">
        <f aca="false">IF(Calculator!$B$6="Yes",MIN(B898,'Tax Tables'!$B$31*'Tax Tables'!$B$32),0)</f>
        <v>0</v>
      </c>
      <c r="E898" s="11" t="n">
        <f aca="false">D898*Calculator!$B$7</f>
        <v>0</v>
      </c>
      <c r="F898" s="11" t="n">
        <f aca="false">D898*Calculator!$B$8</f>
        <v>0</v>
      </c>
      <c r="G898" s="11" t="n">
        <f aca="false">IF(B898&gt;0,'Tax Tables'!$B$32*MIN(MAX(B898/'Tax Tables'!$B$32*'Tax Tables'!$B$33,'Tax Tables'!$B$34),'Tax Tables'!$B$35),0)</f>
        <v>0</v>
      </c>
      <c r="H898" s="11" t="n">
        <f aca="false">Calculator!$B$5-A898-F898-G898</f>
        <v>-42500</v>
      </c>
      <c r="I898" s="11" t="n">
        <f aca="false">'Tax Tables'!$B$22*(MAX(H898,0)-IF(Calculator!$B$10="Yes",MIN(MAX(H898,0),'Tax Tables'!$B$27)*'Tax Tables'!$B$28+MIN(MAX(MAX(H898,0)-'Tax Tables'!$B$27,0),'Tax Tables'!$B$29)*'Tax Tables'!$B$30,MIN(MAX(H898,0),'Tax Tables'!$B$23)*'Tax Tables'!$B$24+MIN(MAX(MAX(H898,0)-'Tax Tables'!$B$23,0),'Tax Tables'!$B$25)*'Tax Tables'!$B$26))*1-MIN('Tax Tables'!$B$22*(MAX(H898,0)-IF(Calculator!$B$10="Yes",MIN(MAX(H898,0),'Tax Tables'!$B$27)*'Tax Tables'!$B$28+MIN(MAX(MAX(H898,0)-'Tax Tables'!$B$27,0),'Tax Tables'!$B$29)*'Tax Tables'!$B$30,MIN(MAX(H898,0),'Tax Tables'!$B$23)*'Tax Tables'!$B$24+MIN(MAX(MAX(H898,0)-'Tax Tables'!$B$23,0),'Tax Tables'!$B$25)*'Tax Tables'!$B$26))*Calculator!$B$11,Calculator!$B$12)</f>
        <v>0</v>
      </c>
      <c r="J898" s="11" t="n">
        <f aca="false">MAX(H898,0)-I898</f>
        <v>0</v>
      </c>
      <c r="K898" s="11" t="n">
        <f aca="false">MIN(IF(A898&gt;0,Calculator!$B$13,0)+E898+Calculator!$B$14,'Tax Tables'!$B$36)</f>
        <v>1000</v>
      </c>
      <c r="L898" s="11" t="n">
        <f aca="false">MAX(A898-K898,0)</f>
        <v>441500</v>
      </c>
      <c r="M898" s="11" t="n">
        <f aca="false">SUMPRODUCT((L898&gt;'Tax Tables'!$A$5:$A$17)*(L898-'Tax Tables'!$A$5:$A$17)*'Tax Tables'!$C$5:$C$17)</f>
        <v>71280</v>
      </c>
      <c r="N898" s="11" t="n">
        <f aca="false">IF(H898&lt;0,-1E+099,A898-E898-M898+J898+(E898+F898)*Calculator!$B$9)</f>
        <v>-1E+099</v>
      </c>
      <c r="O898" s="2"/>
      <c r="P898" s="11" t="n">
        <f aca="false">885*$B$3</f>
        <v>442500</v>
      </c>
      <c r="Q898" s="11" t="n">
        <f aca="false">MIN(P898,'Tax Tables'!$B$31*'Tax Tables'!$B$32)</f>
        <v>96000</v>
      </c>
      <c r="R898" s="11" t="n">
        <f aca="false">P898-Q898</f>
        <v>346500</v>
      </c>
      <c r="S898" s="11" t="n">
        <f aca="false">IF(Calculator!$B$6="Yes",MIN(Q898,'Tax Tables'!$B$31*'Tax Tables'!$B$32),0)</f>
        <v>96000</v>
      </c>
      <c r="T898" s="11" t="n">
        <f aca="false">S898*Calculator!$B$7</f>
        <v>19200</v>
      </c>
      <c r="U898" s="11" t="n">
        <f aca="false">S898*Calculator!$B$8</f>
        <v>16320</v>
      </c>
      <c r="V898" s="11" t="n">
        <f aca="false">IF(Q898&gt;0,'Tax Tables'!$B$32*MIN(MAX(Q898/'Tax Tables'!$B$32*'Tax Tables'!$B$33,'Tax Tables'!$B$34),'Tax Tables'!$B$35),0)</f>
        <v>135</v>
      </c>
      <c r="W898" s="11" t="n">
        <f aca="false">Calculator!$B$5-P898-U898-V898</f>
        <v>-58955</v>
      </c>
      <c r="X898" s="11" t="n">
        <f aca="false">'Tax Tables'!$B$22*(MAX(W898,0)-IF(Calculator!$B$10="Yes",MIN(MAX(W898,0),'Tax Tables'!$B$27)*'Tax Tables'!$B$28+MIN(MAX(MAX(W898,0)-'Tax Tables'!$B$27,0),'Tax Tables'!$B$29)*'Tax Tables'!$B$30,MIN(MAX(W898,0),'Tax Tables'!$B$23)*'Tax Tables'!$B$24+MIN(MAX(MAX(W898,0)-'Tax Tables'!$B$23,0),'Tax Tables'!$B$25)*'Tax Tables'!$B$26))*1-MIN('Tax Tables'!$B$22*(MAX(W898,0)-IF(Calculator!$B$10="Yes",MIN(MAX(W898,0),'Tax Tables'!$B$27)*'Tax Tables'!$B$28+MIN(MAX(MAX(W898,0)-'Tax Tables'!$B$27,0),'Tax Tables'!$B$29)*'Tax Tables'!$B$30,MIN(MAX(W898,0),'Tax Tables'!$B$23)*'Tax Tables'!$B$24+MIN(MAX(MAX(W898,0)-'Tax Tables'!$B$23,0),'Tax Tables'!$B$25)*'Tax Tables'!$B$26))*Calculator!$B$11,Calculator!$B$12)</f>
        <v>0</v>
      </c>
      <c r="Y898" s="11" t="n">
        <f aca="false">MAX(W898,0)-X898</f>
        <v>0</v>
      </c>
      <c r="Z898" s="11" t="n">
        <f aca="false">MIN(IF(P898&gt;0,Calculator!$B$13,0)+T898+Calculator!$B$14,'Tax Tables'!$B$36)</f>
        <v>20200</v>
      </c>
      <c r="AA898" s="11" t="n">
        <f aca="false">MAX(P898-Z898,0)</f>
        <v>422300</v>
      </c>
      <c r="AB898" s="11" t="n">
        <f aca="false">SUMPRODUCT((AA898&gt;'Tax Tables'!$A$5:$A$17)*(AA898-'Tax Tables'!$A$5:$A$17)*'Tax Tables'!$C$5:$C$17)</f>
        <v>67056</v>
      </c>
      <c r="AC898" s="11" t="n">
        <f aca="false">IF(W898&lt;0,-1E+099,P898-T898-AB898+Y898+(T898+U898)*Calculator!$B$9)</f>
        <v>-1E+099</v>
      </c>
    </row>
    <row r="899" customFormat="false" ht="15" hidden="false" customHeight="false" outlineLevel="0" collapsed="false">
      <c r="A899" s="11" t="n">
        <f aca="false">886*$B$3</f>
        <v>443000</v>
      </c>
      <c r="B899" s="11" t="n">
        <f aca="false">0</f>
        <v>0</v>
      </c>
      <c r="C899" s="11" t="n">
        <f aca="false">A899-B899</f>
        <v>443000</v>
      </c>
      <c r="D899" s="11" t="n">
        <f aca="false">IF(Calculator!$B$6="Yes",MIN(B899,'Tax Tables'!$B$31*'Tax Tables'!$B$32),0)</f>
        <v>0</v>
      </c>
      <c r="E899" s="11" t="n">
        <f aca="false">D899*Calculator!$B$7</f>
        <v>0</v>
      </c>
      <c r="F899" s="11" t="n">
        <f aca="false">D899*Calculator!$B$8</f>
        <v>0</v>
      </c>
      <c r="G899" s="11" t="n">
        <f aca="false">IF(B899&gt;0,'Tax Tables'!$B$32*MIN(MAX(B899/'Tax Tables'!$B$32*'Tax Tables'!$B$33,'Tax Tables'!$B$34),'Tax Tables'!$B$35),0)</f>
        <v>0</v>
      </c>
      <c r="H899" s="11" t="n">
        <f aca="false">Calculator!$B$5-A899-F899-G899</f>
        <v>-43000</v>
      </c>
      <c r="I899" s="11" t="n">
        <f aca="false">'Tax Tables'!$B$22*(MAX(H899,0)-IF(Calculator!$B$10="Yes",MIN(MAX(H899,0),'Tax Tables'!$B$27)*'Tax Tables'!$B$28+MIN(MAX(MAX(H899,0)-'Tax Tables'!$B$27,0),'Tax Tables'!$B$29)*'Tax Tables'!$B$30,MIN(MAX(H899,0),'Tax Tables'!$B$23)*'Tax Tables'!$B$24+MIN(MAX(MAX(H899,0)-'Tax Tables'!$B$23,0),'Tax Tables'!$B$25)*'Tax Tables'!$B$26))*1-MIN('Tax Tables'!$B$22*(MAX(H899,0)-IF(Calculator!$B$10="Yes",MIN(MAX(H899,0),'Tax Tables'!$B$27)*'Tax Tables'!$B$28+MIN(MAX(MAX(H899,0)-'Tax Tables'!$B$27,0),'Tax Tables'!$B$29)*'Tax Tables'!$B$30,MIN(MAX(H899,0),'Tax Tables'!$B$23)*'Tax Tables'!$B$24+MIN(MAX(MAX(H899,0)-'Tax Tables'!$B$23,0),'Tax Tables'!$B$25)*'Tax Tables'!$B$26))*Calculator!$B$11,Calculator!$B$12)</f>
        <v>0</v>
      </c>
      <c r="J899" s="11" t="n">
        <f aca="false">MAX(H899,0)-I899</f>
        <v>0</v>
      </c>
      <c r="K899" s="11" t="n">
        <f aca="false">MIN(IF(A899&gt;0,Calculator!$B$13,0)+E899+Calculator!$B$14,'Tax Tables'!$B$36)</f>
        <v>1000</v>
      </c>
      <c r="L899" s="11" t="n">
        <f aca="false">MAX(A899-K899,0)</f>
        <v>442000</v>
      </c>
      <c r="M899" s="11" t="n">
        <f aca="false">SUMPRODUCT((L899&gt;'Tax Tables'!$A$5:$A$17)*(L899-'Tax Tables'!$A$5:$A$17)*'Tax Tables'!$C$5:$C$17)</f>
        <v>71390</v>
      </c>
      <c r="N899" s="11" t="n">
        <f aca="false">IF(H899&lt;0,-1E+099,A899-E899-M899+J899+(E899+F899)*Calculator!$B$9)</f>
        <v>-1E+099</v>
      </c>
      <c r="O899" s="2"/>
      <c r="P899" s="11" t="n">
        <f aca="false">886*$B$3</f>
        <v>443000</v>
      </c>
      <c r="Q899" s="11" t="n">
        <f aca="false">MIN(P899,'Tax Tables'!$B$31*'Tax Tables'!$B$32)</f>
        <v>96000</v>
      </c>
      <c r="R899" s="11" t="n">
        <f aca="false">P899-Q899</f>
        <v>347000</v>
      </c>
      <c r="S899" s="11" t="n">
        <f aca="false">IF(Calculator!$B$6="Yes",MIN(Q899,'Tax Tables'!$B$31*'Tax Tables'!$B$32),0)</f>
        <v>96000</v>
      </c>
      <c r="T899" s="11" t="n">
        <f aca="false">S899*Calculator!$B$7</f>
        <v>19200</v>
      </c>
      <c r="U899" s="11" t="n">
        <f aca="false">S899*Calculator!$B$8</f>
        <v>16320</v>
      </c>
      <c r="V899" s="11" t="n">
        <f aca="false">IF(Q899&gt;0,'Tax Tables'!$B$32*MIN(MAX(Q899/'Tax Tables'!$B$32*'Tax Tables'!$B$33,'Tax Tables'!$B$34),'Tax Tables'!$B$35),0)</f>
        <v>135</v>
      </c>
      <c r="W899" s="11" t="n">
        <f aca="false">Calculator!$B$5-P899-U899-V899</f>
        <v>-59455</v>
      </c>
      <c r="X899" s="11" t="n">
        <f aca="false">'Tax Tables'!$B$22*(MAX(W899,0)-IF(Calculator!$B$10="Yes",MIN(MAX(W899,0),'Tax Tables'!$B$27)*'Tax Tables'!$B$28+MIN(MAX(MAX(W899,0)-'Tax Tables'!$B$27,0),'Tax Tables'!$B$29)*'Tax Tables'!$B$30,MIN(MAX(W899,0),'Tax Tables'!$B$23)*'Tax Tables'!$B$24+MIN(MAX(MAX(W899,0)-'Tax Tables'!$B$23,0),'Tax Tables'!$B$25)*'Tax Tables'!$B$26))*1-MIN('Tax Tables'!$B$22*(MAX(W899,0)-IF(Calculator!$B$10="Yes",MIN(MAX(W899,0),'Tax Tables'!$B$27)*'Tax Tables'!$B$28+MIN(MAX(MAX(W899,0)-'Tax Tables'!$B$27,0),'Tax Tables'!$B$29)*'Tax Tables'!$B$30,MIN(MAX(W899,0),'Tax Tables'!$B$23)*'Tax Tables'!$B$24+MIN(MAX(MAX(W899,0)-'Tax Tables'!$B$23,0),'Tax Tables'!$B$25)*'Tax Tables'!$B$26))*Calculator!$B$11,Calculator!$B$12)</f>
        <v>0</v>
      </c>
      <c r="Y899" s="11" t="n">
        <f aca="false">MAX(W899,0)-X899</f>
        <v>0</v>
      </c>
      <c r="Z899" s="11" t="n">
        <f aca="false">MIN(IF(P899&gt;0,Calculator!$B$13,0)+T899+Calculator!$B$14,'Tax Tables'!$B$36)</f>
        <v>20200</v>
      </c>
      <c r="AA899" s="11" t="n">
        <f aca="false">MAX(P899-Z899,0)</f>
        <v>422800</v>
      </c>
      <c r="AB899" s="11" t="n">
        <f aca="false">SUMPRODUCT((AA899&gt;'Tax Tables'!$A$5:$A$17)*(AA899-'Tax Tables'!$A$5:$A$17)*'Tax Tables'!$C$5:$C$17)</f>
        <v>67166</v>
      </c>
      <c r="AC899" s="11" t="n">
        <f aca="false">IF(W899&lt;0,-1E+099,P899-T899-AB899+Y899+(T899+U899)*Calculator!$B$9)</f>
        <v>-1E+099</v>
      </c>
    </row>
    <row r="900" customFormat="false" ht="15" hidden="false" customHeight="false" outlineLevel="0" collapsed="false">
      <c r="A900" s="11" t="n">
        <f aca="false">887*$B$3</f>
        <v>443500</v>
      </c>
      <c r="B900" s="11" t="n">
        <f aca="false">0</f>
        <v>0</v>
      </c>
      <c r="C900" s="11" t="n">
        <f aca="false">A900-B900</f>
        <v>443500</v>
      </c>
      <c r="D900" s="11" t="n">
        <f aca="false">IF(Calculator!$B$6="Yes",MIN(B900,'Tax Tables'!$B$31*'Tax Tables'!$B$32),0)</f>
        <v>0</v>
      </c>
      <c r="E900" s="11" t="n">
        <f aca="false">D900*Calculator!$B$7</f>
        <v>0</v>
      </c>
      <c r="F900" s="11" t="n">
        <f aca="false">D900*Calculator!$B$8</f>
        <v>0</v>
      </c>
      <c r="G900" s="11" t="n">
        <f aca="false">IF(B900&gt;0,'Tax Tables'!$B$32*MIN(MAX(B900/'Tax Tables'!$B$32*'Tax Tables'!$B$33,'Tax Tables'!$B$34),'Tax Tables'!$B$35),0)</f>
        <v>0</v>
      </c>
      <c r="H900" s="11" t="n">
        <f aca="false">Calculator!$B$5-A900-F900-G900</f>
        <v>-43500</v>
      </c>
      <c r="I900" s="11" t="n">
        <f aca="false">'Tax Tables'!$B$22*(MAX(H900,0)-IF(Calculator!$B$10="Yes",MIN(MAX(H900,0),'Tax Tables'!$B$27)*'Tax Tables'!$B$28+MIN(MAX(MAX(H900,0)-'Tax Tables'!$B$27,0),'Tax Tables'!$B$29)*'Tax Tables'!$B$30,MIN(MAX(H900,0),'Tax Tables'!$B$23)*'Tax Tables'!$B$24+MIN(MAX(MAX(H900,0)-'Tax Tables'!$B$23,0),'Tax Tables'!$B$25)*'Tax Tables'!$B$26))*1-MIN('Tax Tables'!$B$22*(MAX(H900,0)-IF(Calculator!$B$10="Yes",MIN(MAX(H900,0),'Tax Tables'!$B$27)*'Tax Tables'!$B$28+MIN(MAX(MAX(H900,0)-'Tax Tables'!$B$27,0),'Tax Tables'!$B$29)*'Tax Tables'!$B$30,MIN(MAX(H900,0),'Tax Tables'!$B$23)*'Tax Tables'!$B$24+MIN(MAX(MAX(H900,0)-'Tax Tables'!$B$23,0),'Tax Tables'!$B$25)*'Tax Tables'!$B$26))*Calculator!$B$11,Calculator!$B$12)</f>
        <v>0</v>
      </c>
      <c r="J900" s="11" t="n">
        <f aca="false">MAX(H900,0)-I900</f>
        <v>0</v>
      </c>
      <c r="K900" s="11" t="n">
        <f aca="false">MIN(IF(A900&gt;0,Calculator!$B$13,0)+E900+Calculator!$B$14,'Tax Tables'!$B$36)</f>
        <v>1000</v>
      </c>
      <c r="L900" s="11" t="n">
        <f aca="false">MAX(A900-K900,0)</f>
        <v>442500</v>
      </c>
      <c r="M900" s="11" t="n">
        <f aca="false">SUMPRODUCT((L900&gt;'Tax Tables'!$A$5:$A$17)*(L900-'Tax Tables'!$A$5:$A$17)*'Tax Tables'!$C$5:$C$17)</f>
        <v>71500</v>
      </c>
      <c r="N900" s="11" t="n">
        <f aca="false">IF(H900&lt;0,-1E+099,A900-E900-M900+J900+(E900+F900)*Calculator!$B$9)</f>
        <v>-1E+099</v>
      </c>
      <c r="O900" s="2"/>
      <c r="P900" s="11" t="n">
        <f aca="false">887*$B$3</f>
        <v>443500</v>
      </c>
      <c r="Q900" s="11" t="n">
        <f aca="false">MIN(P900,'Tax Tables'!$B$31*'Tax Tables'!$B$32)</f>
        <v>96000</v>
      </c>
      <c r="R900" s="11" t="n">
        <f aca="false">P900-Q900</f>
        <v>347500</v>
      </c>
      <c r="S900" s="11" t="n">
        <f aca="false">IF(Calculator!$B$6="Yes",MIN(Q900,'Tax Tables'!$B$31*'Tax Tables'!$B$32),0)</f>
        <v>96000</v>
      </c>
      <c r="T900" s="11" t="n">
        <f aca="false">S900*Calculator!$B$7</f>
        <v>19200</v>
      </c>
      <c r="U900" s="11" t="n">
        <f aca="false">S900*Calculator!$B$8</f>
        <v>16320</v>
      </c>
      <c r="V900" s="11" t="n">
        <f aca="false">IF(Q900&gt;0,'Tax Tables'!$B$32*MIN(MAX(Q900/'Tax Tables'!$B$32*'Tax Tables'!$B$33,'Tax Tables'!$B$34),'Tax Tables'!$B$35),0)</f>
        <v>135</v>
      </c>
      <c r="W900" s="11" t="n">
        <f aca="false">Calculator!$B$5-P900-U900-V900</f>
        <v>-59955</v>
      </c>
      <c r="X900" s="11" t="n">
        <f aca="false">'Tax Tables'!$B$22*(MAX(W900,0)-IF(Calculator!$B$10="Yes",MIN(MAX(W900,0),'Tax Tables'!$B$27)*'Tax Tables'!$B$28+MIN(MAX(MAX(W900,0)-'Tax Tables'!$B$27,0),'Tax Tables'!$B$29)*'Tax Tables'!$B$30,MIN(MAX(W900,0),'Tax Tables'!$B$23)*'Tax Tables'!$B$24+MIN(MAX(MAX(W900,0)-'Tax Tables'!$B$23,0),'Tax Tables'!$B$25)*'Tax Tables'!$B$26))*1-MIN('Tax Tables'!$B$22*(MAX(W900,0)-IF(Calculator!$B$10="Yes",MIN(MAX(W900,0),'Tax Tables'!$B$27)*'Tax Tables'!$B$28+MIN(MAX(MAX(W900,0)-'Tax Tables'!$B$27,0),'Tax Tables'!$B$29)*'Tax Tables'!$B$30,MIN(MAX(W900,0),'Tax Tables'!$B$23)*'Tax Tables'!$B$24+MIN(MAX(MAX(W900,0)-'Tax Tables'!$B$23,0),'Tax Tables'!$B$25)*'Tax Tables'!$B$26))*Calculator!$B$11,Calculator!$B$12)</f>
        <v>0</v>
      </c>
      <c r="Y900" s="11" t="n">
        <f aca="false">MAX(W900,0)-X900</f>
        <v>0</v>
      </c>
      <c r="Z900" s="11" t="n">
        <f aca="false">MIN(IF(P900&gt;0,Calculator!$B$13,0)+T900+Calculator!$B$14,'Tax Tables'!$B$36)</f>
        <v>20200</v>
      </c>
      <c r="AA900" s="11" t="n">
        <f aca="false">MAX(P900-Z900,0)</f>
        <v>423300</v>
      </c>
      <c r="AB900" s="11" t="n">
        <f aca="false">SUMPRODUCT((AA900&gt;'Tax Tables'!$A$5:$A$17)*(AA900-'Tax Tables'!$A$5:$A$17)*'Tax Tables'!$C$5:$C$17)</f>
        <v>67276</v>
      </c>
      <c r="AC900" s="11" t="n">
        <f aca="false">IF(W900&lt;0,-1E+099,P900-T900-AB900+Y900+(T900+U900)*Calculator!$B$9)</f>
        <v>-1E+099</v>
      </c>
    </row>
    <row r="901" customFormat="false" ht="15" hidden="false" customHeight="false" outlineLevel="0" collapsed="false">
      <c r="A901" s="11" t="n">
        <f aca="false">888*$B$3</f>
        <v>444000</v>
      </c>
      <c r="B901" s="11" t="n">
        <f aca="false">0</f>
        <v>0</v>
      </c>
      <c r="C901" s="11" t="n">
        <f aca="false">A901-B901</f>
        <v>444000</v>
      </c>
      <c r="D901" s="11" t="n">
        <f aca="false">IF(Calculator!$B$6="Yes",MIN(B901,'Tax Tables'!$B$31*'Tax Tables'!$B$32),0)</f>
        <v>0</v>
      </c>
      <c r="E901" s="11" t="n">
        <f aca="false">D901*Calculator!$B$7</f>
        <v>0</v>
      </c>
      <c r="F901" s="11" t="n">
        <f aca="false">D901*Calculator!$B$8</f>
        <v>0</v>
      </c>
      <c r="G901" s="11" t="n">
        <f aca="false">IF(B901&gt;0,'Tax Tables'!$B$32*MIN(MAX(B901/'Tax Tables'!$B$32*'Tax Tables'!$B$33,'Tax Tables'!$B$34),'Tax Tables'!$B$35),0)</f>
        <v>0</v>
      </c>
      <c r="H901" s="11" t="n">
        <f aca="false">Calculator!$B$5-A901-F901-G901</f>
        <v>-44000</v>
      </c>
      <c r="I901" s="11" t="n">
        <f aca="false">'Tax Tables'!$B$22*(MAX(H901,0)-IF(Calculator!$B$10="Yes",MIN(MAX(H901,0),'Tax Tables'!$B$27)*'Tax Tables'!$B$28+MIN(MAX(MAX(H901,0)-'Tax Tables'!$B$27,0),'Tax Tables'!$B$29)*'Tax Tables'!$B$30,MIN(MAX(H901,0),'Tax Tables'!$B$23)*'Tax Tables'!$B$24+MIN(MAX(MAX(H901,0)-'Tax Tables'!$B$23,0),'Tax Tables'!$B$25)*'Tax Tables'!$B$26))*1-MIN('Tax Tables'!$B$22*(MAX(H901,0)-IF(Calculator!$B$10="Yes",MIN(MAX(H901,0),'Tax Tables'!$B$27)*'Tax Tables'!$B$28+MIN(MAX(MAX(H901,0)-'Tax Tables'!$B$27,0),'Tax Tables'!$B$29)*'Tax Tables'!$B$30,MIN(MAX(H901,0),'Tax Tables'!$B$23)*'Tax Tables'!$B$24+MIN(MAX(MAX(H901,0)-'Tax Tables'!$B$23,0),'Tax Tables'!$B$25)*'Tax Tables'!$B$26))*Calculator!$B$11,Calculator!$B$12)</f>
        <v>0</v>
      </c>
      <c r="J901" s="11" t="n">
        <f aca="false">MAX(H901,0)-I901</f>
        <v>0</v>
      </c>
      <c r="K901" s="11" t="n">
        <f aca="false">MIN(IF(A901&gt;0,Calculator!$B$13,0)+E901+Calculator!$B$14,'Tax Tables'!$B$36)</f>
        <v>1000</v>
      </c>
      <c r="L901" s="11" t="n">
        <f aca="false">MAX(A901-K901,0)</f>
        <v>443000</v>
      </c>
      <c r="M901" s="11" t="n">
        <f aca="false">SUMPRODUCT((L901&gt;'Tax Tables'!$A$5:$A$17)*(L901-'Tax Tables'!$A$5:$A$17)*'Tax Tables'!$C$5:$C$17)</f>
        <v>71610</v>
      </c>
      <c r="N901" s="11" t="n">
        <f aca="false">IF(H901&lt;0,-1E+099,A901-E901-M901+J901+(E901+F901)*Calculator!$B$9)</f>
        <v>-1E+099</v>
      </c>
      <c r="O901" s="2"/>
      <c r="P901" s="11" t="n">
        <f aca="false">888*$B$3</f>
        <v>444000</v>
      </c>
      <c r="Q901" s="11" t="n">
        <f aca="false">MIN(P901,'Tax Tables'!$B$31*'Tax Tables'!$B$32)</f>
        <v>96000</v>
      </c>
      <c r="R901" s="11" t="n">
        <f aca="false">P901-Q901</f>
        <v>348000</v>
      </c>
      <c r="S901" s="11" t="n">
        <f aca="false">IF(Calculator!$B$6="Yes",MIN(Q901,'Tax Tables'!$B$31*'Tax Tables'!$B$32),0)</f>
        <v>96000</v>
      </c>
      <c r="T901" s="11" t="n">
        <f aca="false">S901*Calculator!$B$7</f>
        <v>19200</v>
      </c>
      <c r="U901" s="11" t="n">
        <f aca="false">S901*Calculator!$B$8</f>
        <v>16320</v>
      </c>
      <c r="V901" s="11" t="n">
        <f aca="false">IF(Q901&gt;0,'Tax Tables'!$B$32*MIN(MAX(Q901/'Tax Tables'!$B$32*'Tax Tables'!$B$33,'Tax Tables'!$B$34),'Tax Tables'!$B$35),0)</f>
        <v>135</v>
      </c>
      <c r="W901" s="11" t="n">
        <f aca="false">Calculator!$B$5-P901-U901-V901</f>
        <v>-60455</v>
      </c>
      <c r="X901" s="11" t="n">
        <f aca="false">'Tax Tables'!$B$22*(MAX(W901,0)-IF(Calculator!$B$10="Yes",MIN(MAX(W901,0),'Tax Tables'!$B$27)*'Tax Tables'!$B$28+MIN(MAX(MAX(W901,0)-'Tax Tables'!$B$27,0),'Tax Tables'!$B$29)*'Tax Tables'!$B$30,MIN(MAX(W901,0),'Tax Tables'!$B$23)*'Tax Tables'!$B$24+MIN(MAX(MAX(W901,0)-'Tax Tables'!$B$23,0),'Tax Tables'!$B$25)*'Tax Tables'!$B$26))*1-MIN('Tax Tables'!$B$22*(MAX(W901,0)-IF(Calculator!$B$10="Yes",MIN(MAX(W901,0),'Tax Tables'!$B$27)*'Tax Tables'!$B$28+MIN(MAX(MAX(W901,0)-'Tax Tables'!$B$27,0),'Tax Tables'!$B$29)*'Tax Tables'!$B$30,MIN(MAX(W901,0),'Tax Tables'!$B$23)*'Tax Tables'!$B$24+MIN(MAX(MAX(W901,0)-'Tax Tables'!$B$23,0),'Tax Tables'!$B$25)*'Tax Tables'!$B$26))*Calculator!$B$11,Calculator!$B$12)</f>
        <v>0</v>
      </c>
      <c r="Y901" s="11" t="n">
        <f aca="false">MAX(W901,0)-X901</f>
        <v>0</v>
      </c>
      <c r="Z901" s="11" t="n">
        <f aca="false">MIN(IF(P901&gt;0,Calculator!$B$13,0)+T901+Calculator!$B$14,'Tax Tables'!$B$36)</f>
        <v>20200</v>
      </c>
      <c r="AA901" s="11" t="n">
        <f aca="false">MAX(P901-Z901,0)</f>
        <v>423800</v>
      </c>
      <c r="AB901" s="11" t="n">
        <f aca="false">SUMPRODUCT((AA901&gt;'Tax Tables'!$A$5:$A$17)*(AA901-'Tax Tables'!$A$5:$A$17)*'Tax Tables'!$C$5:$C$17)</f>
        <v>67386</v>
      </c>
      <c r="AC901" s="11" t="n">
        <f aca="false">IF(W901&lt;0,-1E+099,P901-T901-AB901+Y901+(T901+U901)*Calculator!$B$9)</f>
        <v>-1E+099</v>
      </c>
    </row>
    <row r="902" customFormat="false" ht="15" hidden="false" customHeight="false" outlineLevel="0" collapsed="false">
      <c r="A902" s="11" t="n">
        <f aca="false">889*$B$3</f>
        <v>444500</v>
      </c>
      <c r="B902" s="11" t="n">
        <f aca="false">0</f>
        <v>0</v>
      </c>
      <c r="C902" s="11" t="n">
        <f aca="false">A902-B902</f>
        <v>444500</v>
      </c>
      <c r="D902" s="11" t="n">
        <f aca="false">IF(Calculator!$B$6="Yes",MIN(B902,'Tax Tables'!$B$31*'Tax Tables'!$B$32),0)</f>
        <v>0</v>
      </c>
      <c r="E902" s="11" t="n">
        <f aca="false">D902*Calculator!$B$7</f>
        <v>0</v>
      </c>
      <c r="F902" s="11" t="n">
        <f aca="false">D902*Calculator!$B$8</f>
        <v>0</v>
      </c>
      <c r="G902" s="11" t="n">
        <f aca="false">IF(B902&gt;0,'Tax Tables'!$B$32*MIN(MAX(B902/'Tax Tables'!$B$32*'Tax Tables'!$B$33,'Tax Tables'!$B$34),'Tax Tables'!$B$35),0)</f>
        <v>0</v>
      </c>
      <c r="H902" s="11" t="n">
        <f aca="false">Calculator!$B$5-A902-F902-G902</f>
        <v>-44500</v>
      </c>
      <c r="I902" s="11" t="n">
        <f aca="false">'Tax Tables'!$B$22*(MAX(H902,0)-IF(Calculator!$B$10="Yes",MIN(MAX(H902,0),'Tax Tables'!$B$27)*'Tax Tables'!$B$28+MIN(MAX(MAX(H902,0)-'Tax Tables'!$B$27,0),'Tax Tables'!$B$29)*'Tax Tables'!$B$30,MIN(MAX(H902,0),'Tax Tables'!$B$23)*'Tax Tables'!$B$24+MIN(MAX(MAX(H902,0)-'Tax Tables'!$B$23,0),'Tax Tables'!$B$25)*'Tax Tables'!$B$26))*1-MIN('Tax Tables'!$B$22*(MAX(H902,0)-IF(Calculator!$B$10="Yes",MIN(MAX(H902,0),'Tax Tables'!$B$27)*'Tax Tables'!$B$28+MIN(MAX(MAX(H902,0)-'Tax Tables'!$B$27,0),'Tax Tables'!$B$29)*'Tax Tables'!$B$30,MIN(MAX(H902,0),'Tax Tables'!$B$23)*'Tax Tables'!$B$24+MIN(MAX(MAX(H902,0)-'Tax Tables'!$B$23,0),'Tax Tables'!$B$25)*'Tax Tables'!$B$26))*Calculator!$B$11,Calculator!$B$12)</f>
        <v>0</v>
      </c>
      <c r="J902" s="11" t="n">
        <f aca="false">MAX(H902,0)-I902</f>
        <v>0</v>
      </c>
      <c r="K902" s="11" t="n">
        <f aca="false">MIN(IF(A902&gt;0,Calculator!$B$13,0)+E902+Calculator!$B$14,'Tax Tables'!$B$36)</f>
        <v>1000</v>
      </c>
      <c r="L902" s="11" t="n">
        <f aca="false">MAX(A902-K902,0)</f>
        <v>443500</v>
      </c>
      <c r="M902" s="11" t="n">
        <f aca="false">SUMPRODUCT((L902&gt;'Tax Tables'!$A$5:$A$17)*(L902-'Tax Tables'!$A$5:$A$17)*'Tax Tables'!$C$5:$C$17)</f>
        <v>71720</v>
      </c>
      <c r="N902" s="11" t="n">
        <f aca="false">IF(H902&lt;0,-1E+099,A902-E902-M902+J902+(E902+F902)*Calculator!$B$9)</f>
        <v>-1E+099</v>
      </c>
      <c r="O902" s="2"/>
      <c r="P902" s="11" t="n">
        <f aca="false">889*$B$3</f>
        <v>444500</v>
      </c>
      <c r="Q902" s="11" t="n">
        <f aca="false">MIN(P902,'Tax Tables'!$B$31*'Tax Tables'!$B$32)</f>
        <v>96000</v>
      </c>
      <c r="R902" s="11" t="n">
        <f aca="false">P902-Q902</f>
        <v>348500</v>
      </c>
      <c r="S902" s="11" t="n">
        <f aca="false">IF(Calculator!$B$6="Yes",MIN(Q902,'Tax Tables'!$B$31*'Tax Tables'!$B$32),0)</f>
        <v>96000</v>
      </c>
      <c r="T902" s="11" t="n">
        <f aca="false">S902*Calculator!$B$7</f>
        <v>19200</v>
      </c>
      <c r="U902" s="11" t="n">
        <f aca="false">S902*Calculator!$B$8</f>
        <v>16320</v>
      </c>
      <c r="V902" s="11" t="n">
        <f aca="false">IF(Q902&gt;0,'Tax Tables'!$B$32*MIN(MAX(Q902/'Tax Tables'!$B$32*'Tax Tables'!$B$33,'Tax Tables'!$B$34),'Tax Tables'!$B$35),0)</f>
        <v>135</v>
      </c>
      <c r="W902" s="11" t="n">
        <f aca="false">Calculator!$B$5-P902-U902-V902</f>
        <v>-60955</v>
      </c>
      <c r="X902" s="11" t="n">
        <f aca="false">'Tax Tables'!$B$22*(MAX(W902,0)-IF(Calculator!$B$10="Yes",MIN(MAX(W902,0),'Tax Tables'!$B$27)*'Tax Tables'!$B$28+MIN(MAX(MAX(W902,0)-'Tax Tables'!$B$27,0),'Tax Tables'!$B$29)*'Tax Tables'!$B$30,MIN(MAX(W902,0),'Tax Tables'!$B$23)*'Tax Tables'!$B$24+MIN(MAX(MAX(W902,0)-'Tax Tables'!$B$23,0),'Tax Tables'!$B$25)*'Tax Tables'!$B$26))*1-MIN('Tax Tables'!$B$22*(MAX(W902,0)-IF(Calculator!$B$10="Yes",MIN(MAX(W902,0),'Tax Tables'!$B$27)*'Tax Tables'!$B$28+MIN(MAX(MAX(W902,0)-'Tax Tables'!$B$27,0),'Tax Tables'!$B$29)*'Tax Tables'!$B$30,MIN(MAX(W902,0),'Tax Tables'!$B$23)*'Tax Tables'!$B$24+MIN(MAX(MAX(W902,0)-'Tax Tables'!$B$23,0),'Tax Tables'!$B$25)*'Tax Tables'!$B$26))*Calculator!$B$11,Calculator!$B$12)</f>
        <v>0</v>
      </c>
      <c r="Y902" s="11" t="n">
        <f aca="false">MAX(W902,0)-X902</f>
        <v>0</v>
      </c>
      <c r="Z902" s="11" t="n">
        <f aca="false">MIN(IF(P902&gt;0,Calculator!$B$13,0)+T902+Calculator!$B$14,'Tax Tables'!$B$36)</f>
        <v>20200</v>
      </c>
      <c r="AA902" s="11" t="n">
        <f aca="false">MAX(P902-Z902,0)</f>
        <v>424300</v>
      </c>
      <c r="AB902" s="11" t="n">
        <f aca="false">SUMPRODUCT((AA902&gt;'Tax Tables'!$A$5:$A$17)*(AA902-'Tax Tables'!$A$5:$A$17)*'Tax Tables'!$C$5:$C$17)</f>
        <v>67496</v>
      </c>
      <c r="AC902" s="11" t="n">
        <f aca="false">IF(W902&lt;0,-1E+099,P902-T902-AB902+Y902+(T902+U902)*Calculator!$B$9)</f>
        <v>-1E+099</v>
      </c>
    </row>
    <row r="903" customFormat="false" ht="15" hidden="false" customHeight="false" outlineLevel="0" collapsed="false">
      <c r="A903" s="11" t="n">
        <f aca="false">890*$B$3</f>
        <v>445000</v>
      </c>
      <c r="B903" s="11" t="n">
        <f aca="false">0</f>
        <v>0</v>
      </c>
      <c r="C903" s="11" t="n">
        <f aca="false">A903-B903</f>
        <v>445000</v>
      </c>
      <c r="D903" s="11" t="n">
        <f aca="false">IF(Calculator!$B$6="Yes",MIN(B903,'Tax Tables'!$B$31*'Tax Tables'!$B$32),0)</f>
        <v>0</v>
      </c>
      <c r="E903" s="11" t="n">
        <f aca="false">D903*Calculator!$B$7</f>
        <v>0</v>
      </c>
      <c r="F903" s="11" t="n">
        <f aca="false">D903*Calculator!$B$8</f>
        <v>0</v>
      </c>
      <c r="G903" s="11" t="n">
        <f aca="false">IF(B903&gt;0,'Tax Tables'!$B$32*MIN(MAX(B903/'Tax Tables'!$B$32*'Tax Tables'!$B$33,'Tax Tables'!$B$34),'Tax Tables'!$B$35),0)</f>
        <v>0</v>
      </c>
      <c r="H903" s="11" t="n">
        <f aca="false">Calculator!$B$5-A903-F903-G903</f>
        <v>-45000</v>
      </c>
      <c r="I903" s="11" t="n">
        <f aca="false">'Tax Tables'!$B$22*(MAX(H903,0)-IF(Calculator!$B$10="Yes",MIN(MAX(H903,0),'Tax Tables'!$B$27)*'Tax Tables'!$B$28+MIN(MAX(MAX(H903,0)-'Tax Tables'!$B$27,0),'Tax Tables'!$B$29)*'Tax Tables'!$B$30,MIN(MAX(H903,0),'Tax Tables'!$B$23)*'Tax Tables'!$B$24+MIN(MAX(MAX(H903,0)-'Tax Tables'!$B$23,0),'Tax Tables'!$B$25)*'Tax Tables'!$B$26))*1-MIN('Tax Tables'!$B$22*(MAX(H903,0)-IF(Calculator!$B$10="Yes",MIN(MAX(H903,0),'Tax Tables'!$B$27)*'Tax Tables'!$B$28+MIN(MAX(MAX(H903,0)-'Tax Tables'!$B$27,0),'Tax Tables'!$B$29)*'Tax Tables'!$B$30,MIN(MAX(H903,0),'Tax Tables'!$B$23)*'Tax Tables'!$B$24+MIN(MAX(MAX(H903,0)-'Tax Tables'!$B$23,0),'Tax Tables'!$B$25)*'Tax Tables'!$B$26))*Calculator!$B$11,Calculator!$B$12)</f>
        <v>0</v>
      </c>
      <c r="J903" s="11" t="n">
        <f aca="false">MAX(H903,0)-I903</f>
        <v>0</v>
      </c>
      <c r="K903" s="11" t="n">
        <f aca="false">MIN(IF(A903&gt;0,Calculator!$B$13,0)+E903+Calculator!$B$14,'Tax Tables'!$B$36)</f>
        <v>1000</v>
      </c>
      <c r="L903" s="11" t="n">
        <f aca="false">MAX(A903-K903,0)</f>
        <v>444000</v>
      </c>
      <c r="M903" s="11" t="n">
        <f aca="false">SUMPRODUCT((L903&gt;'Tax Tables'!$A$5:$A$17)*(L903-'Tax Tables'!$A$5:$A$17)*'Tax Tables'!$C$5:$C$17)</f>
        <v>71830</v>
      </c>
      <c r="N903" s="11" t="n">
        <f aca="false">IF(H903&lt;0,-1E+099,A903-E903-M903+J903+(E903+F903)*Calculator!$B$9)</f>
        <v>-1E+099</v>
      </c>
      <c r="O903" s="2"/>
      <c r="P903" s="11" t="n">
        <f aca="false">890*$B$3</f>
        <v>445000</v>
      </c>
      <c r="Q903" s="11" t="n">
        <f aca="false">MIN(P903,'Tax Tables'!$B$31*'Tax Tables'!$B$32)</f>
        <v>96000</v>
      </c>
      <c r="R903" s="11" t="n">
        <f aca="false">P903-Q903</f>
        <v>349000</v>
      </c>
      <c r="S903" s="11" t="n">
        <f aca="false">IF(Calculator!$B$6="Yes",MIN(Q903,'Tax Tables'!$B$31*'Tax Tables'!$B$32),0)</f>
        <v>96000</v>
      </c>
      <c r="T903" s="11" t="n">
        <f aca="false">S903*Calculator!$B$7</f>
        <v>19200</v>
      </c>
      <c r="U903" s="11" t="n">
        <f aca="false">S903*Calculator!$B$8</f>
        <v>16320</v>
      </c>
      <c r="V903" s="11" t="n">
        <f aca="false">IF(Q903&gt;0,'Tax Tables'!$B$32*MIN(MAX(Q903/'Tax Tables'!$B$32*'Tax Tables'!$B$33,'Tax Tables'!$B$34),'Tax Tables'!$B$35),0)</f>
        <v>135</v>
      </c>
      <c r="W903" s="11" t="n">
        <f aca="false">Calculator!$B$5-P903-U903-V903</f>
        <v>-61455</v>
      </c>
      <c r="X903" s="11" t="n">
        <f aca="false">'Tax Tables'!$B$22*(MAX(W903,0)-IF(Calculator!$B$10="Yes",MIN(MAX(W903,0),'Tax Tables'!$B$27)*'Tax Tables'!$B$28+MIN(MAX(MAX(W903,0)-'Tax Tables'!$B$27,0),'Tax Tables'!$B$29)*'Tax Tables'!$B$30,MIN(MAX(W903,0),'Tax Tables'!$B$23)*'Tax Tables'!$B$24+MIN(MAX(MAX(W903,0)-'Tax Tables'!$B$23,0),'Tax Tables'!$B$25)*'Tax Tables'!$B$26))*1-MIN('Tax Tables'!$B$22*(MAX(W903,0)-IF(Calculator!$B$10="Yes",MIN(MAX(W903,0),'Tax Tables'!$B$27)*'Tax Tables'!$B$28+MIN(MAX(MAX(W903,0)-'Tax Tables'!$B$27,0),'Tax Tables'!$B$29)*'Tax Tables'!$B$30,MIN(MAX(W903,0),'Tax Tables'!$B$23)*'Tax Tables'!$B$24+MIN(MAX(MAX(W903,0)-'Tax Tables'!$B$23,0),'Tax Tables'!$B$25)*'Tax Tables'!$B$26))*Calculator!$B$11,Calculator!$B$12)</f>
        <v>0</v>
      </c>
      <c r="Y903" s="11" t="n">
        <f aca="false">MAX(W903,0)-X903</f>
        <v>0</v>
      </c>
      <c r="Z903" s="11" t="n">
        <f aca="false">MIN(IF(P903&gt;0,Calculator!$B$13,0)+T903+Calculator!$B$14,'Tax Tables'!$B$36)</f>
        <v>20200</v>
      </c>
      <c r="AA903" s="11" t="n">
        <f aca="false">MAX(P903-Z903,0)</f>
        <v>424800</v>
      </c>
      <c r="AB903" s="11" t="n">
        <f aca="false">SUMPRODUCT((AA903&gt;'Tax Tables'!$A$5:$A$17)*(AA903-'Tax Tables'!$A$5:$A$17)*'Tax Tables'!$C$5:$C$17)</f>
        <v>67606</v>
      </c>
      <c r="AC903" s="11" t="n">
        <f aca="false">IF(W903&lt;0,-1E+099,P903-T903-AB903+Y903+(T903+U903)*Calculator!$B$9)</f>
        <v>-1E+099</v>
      </c>
    </row>
    <row r="904" customFormat="false" ht="15" hidden="false" customHeight="false" outlineLevel="0" collapsed="false">
      <c r="A904" s="11" t="n">
        <f aca="false">891*$B$3</f>
        <v>445500</v>
      </c>
      <c r="B904" s="11" t="n">
        <f aca="false">0</f>
        <v>0</v>
      </c>
      <c r="C904" s="11" t="n">
        <f aca="false">A904-B904</f>
        <v>445500</v>
      </c>
      <c r="D904" s="11" t="n">
        <f aca="false">IF(Calculator!$B$6="Yes",MIN(B904,'Tax Tables'!$B$31*'Tax Tables'!$B$32),0)</f>
        <v>0</v>
      </c>
      <c r="E904" s="11" t="n">
        <f aca="false">D904*Calculator!$B$7</f>
        <v>0</v>
      </c>
      <c r="F904" s="11" t="n">
        <f aca="false">D904*Calculator!$B$8</f>
        <v>0</v>
      </c>
      <c r="G904" s="11" t="n">
        <f aca="false">IF(B904&gt;0,'Tax Tables'!$B$32*MIN(MAX(B904/'Tax Tables'!$B$32*'Tax Tables'!$B$33,'Tax Tables'!$B$34),'Tax Tables'!$B$35),0)</f>
        <v>0</v>
      </c>
      <c r="H904" s="11" t="n">
        <f aca="false">Calculator!$B$5-A904-F904-G904</f>
        <v>-45500</v>
      </c>
      <c r="I904" s="11" t="n">
        <f aca="false">'Tax Tables'!$B$22*(MAX(H904,0)-IF(Calculator!$B$10="Yes",MIN(MAX(H904,0),'Tax Tables'!$B$27)*'Tax Tables'!$B$28+MIN(MAX(MAX(H904,0)-'Tax Tables'!$B$27,0),'Tax Tables'!$B$29)*'Tax Tables'!$B$30,MIN(MAX(H904,0),'Tax Tables'!$B$23)*'Tax Tables'!$B$24+MIN(MAX(MAX(H904,0)-'Tax Tables'!$B$23,0),'Tax Tables'!$B$25)*'Tax Tables'!$B$26))*1-MIN('Tax Tables'!$B$22*(MAX(H904,0)-IF(Calculator!$B$10="Yes",MIN(MAX(H904,0),'Tax Tables'!$B$27)*'Tax Tables'!$B$28+MIN(MAX(MAX(H904,0)-'Tax Tables'!$B$27,0),'Tax Tables'!$B$29)*'Tax Tables'!$B$30,MIN(MAX(H904,0),'Tax Tables'!$B$23)*'Tax Tables'!$B$24+MIN(MAX(MAX(H904,0)-'Tax Tables'!$B$23,0),'Tax Tables'!$B$25)*'Tax Tables'!$B$26))*Calculator!$B$11,Calculator!$B$12)</f>
        <v>0</v>
      </c>
      <c r="J904" s="11" t="n">
        <f aca="false">MAX(H904,0)-I904</f>
        <v>0</v>
      </c>
      <c r="K904" s="11" t="n">
        <f aca="false">MIN(IF(A904&gt;0,Calculator!$B$13,0)+E904+Calculator!$B$14,'Tax Tables'!$B$36)</f>
        <v>1000</v>
      </c>
      <c r="L904" s="11" t="n">
        <f aca="false">MAX(A904-K904,0)</f>
        <v>444500</v>
      </c>
      <c r="M904" s="11" t="n">
        <f aca="false">SUMPRODUCT((L904&gt;'Tax Tables'!$A$5:$A$17)*(L904-'Tax Tables'!$A$5:$A$17)*'Tax Tables'!$C$5:$C$17)</f>
        <v>71940</v>
      </c>
      <c r="N904" s="11" t="n">
        <f aca="false">IF(H904&lt;0,-1E+099,A904-E904-M904+J904+(E904+F904)*Calculator!$B$9)</f>
        <v>-1E+099</v>
      </c>
      <c r="O904" s="2"/>
      <c r="P904" s="11" t="n">
        <f aca="false">891*$B$3</f>
        <v>445500</v>
      </c>
      <c r="Q904" s="11" t="n">
        <f aca="false">MIN(P904,'Tax Tables'!$B$31*'Tax Tables'!$B$32)</f>
        <v>96000</v>
      </c>
      <c r="R904" s="11" t="n">
        <f aca="false">P904-Q904</f>
        <v>349500</v>
      </c>
      <c r="S904" s="11" t="n">
        <f aca="false">IF(Calculator!$B$6="Yes",MIN(Q904,'Tax Tables'!$B$31*'Tax Tables'!$B$32),0)</f>
        <v>96000</v>
      </c>
      <c r="T904" s="11" t="n">
        <f aca="false">S904*Calculator!$B$7</f>
        <v>19200</v>
      </c>
      <c r="U904" s="11" t="n">
        <f aca="false">S904*Calculator!$B$8</f>
        <v>16320</v>
      </c>
      <c r="V904" s="11" t="n">
        <f aca="false">IF(Q904&gt;0,'Tax Tables'!$B$32*MIN(MAX(Q904/'Tax Tables'!$B$32*'Tax Tables'!$B$33,'Tax Tables'!$B$34),'Tax Tables'!$B$35),0)</f>
        <v>135</v>
      </c>
      <c r="W904" s="11" t="n">
        <f aca="false">Calculator!$B$5-P904-U904-V904</f>
        <v>-61955</v>
      </c>
      <c r="X904" s="11" t="n">
        <f aca="false">'Tax Tables'!$B$22*(MAX(W904,0)-IF(Calculator!$B$10="Yes",MIN(MAX(W904,0),'Tax Tables'!$B$27)*'Tax Tables'!$B$28+MIN(MAX(MAX(W904,0)-'Tax Tables'!$B$27,0),'Tax Tables'!$B$29)*'Tax Tables'!$B$30,MIN(MAX(W904,0),'Tax Tables'!$B$23)*'Tax Tables'!$B$24+MIN(MAX(MAX(W904,0)-'Tax Tables'!$B$23,0),'Tax Tables'!$B$25)*'Tax Tables'!$B$26))*1-MIN('Tax Tables'!$B$22*(MAX(W904,0)-IF(Calculator!$B$10="Yes",MIN(MAX(W904,0),'Tax Tables'!$B$27)*'Tax Tables'!$B$28+MIN(MAX(MAX(W904,0)-'Tax Tables'!$B$27,0),'Tax Tables'!$B$29)*'Tax Tables'!$B$30,MIN(MAX(W904,0),'Tax Tables'!$B$23)*'Tax Tables'!$B$24+MIN(MAX(MAX(W904,0)-'Tax Tables'!$B$23,0),'Tax Tables'!$B$25)*'Tax Tables'!$B$26))*Calculator!$B$11,Calculator!$B$12)</f>
        <v>0</v>
      </c>
      <c r="Y904" s="11" t="n">
        <f aca="false">MAX(W904,0)-X904</f>
        <v>0</v>
      </c>
      <c r="Z904" s="11" t="n">
        <f aca="false">MIN(IF(P904&gt;0,Calculator!$B$13,0)+T904+Calculator!$B$14,'Tax Tables'!$B$36)</f>
        <v>20200</v>
      </c>
      <c r="AA904" s="11" t="n">
        <f aca="false">MAX(P904-Z904,0)</f>
        <v>425300</v>
      </c>
      <c r="AB904" s="11" t="n">
        <f aca="false">SUMPRODUCT((AA904&gt;'Tax Tables'!$A$5:$A$17)*(AA904-'Tax Tables'!$A$5:$A$17)*'Tax Tables'!$C$5:$C$17)</f>
        <v>67716</v>
      </c>
      <c r="AC904" s="11" t="n">
        <f aca="false">IF(W904&lt;0,-1E+099,P904-T904-AB904+Y904+(T904+U904)*Calculator!$B$9)</f>
        <v>-1E+099</v>
      </c>
    </row>
    <row r="905" customFormat="false" ht="15" hidden="false" customHeight="false" outlineLevel="0" collapsed="false">
      <c r="A905" s="11" t="n">
        <f aca="false">892*$B$3</f>
        <v>446000</v>
      </c>
      <c r="B905" s="11" t="n">
        <f aca="false">0</f>
        <v>0</v>
      </c>
      <c r="C905" s="11" t="n">
        <f aca="false">A905-B905</f>
        <v>446000</v>
      </c>
      <c r="D905" s="11" t="n">
        <f aca="false">IF(Calculator!$B$6="Yes",MIN(B905,'Tax Tables'!$B$31*'Tax Tables'!$B$32),0)</f>
        <v>0</v>
      </c>
      <c r="E905" s="11" t="n">
        <f aca="false">D905*Calculator!$B$7</f>
        <v>0</v>
      </c>
      <c r="F905" s="11" t="n">
        <f aca="false">D905*Calculator!$B$8</f>
        <v>0</v>
      </c>
      <c r="G905" s="11" t="n">
        <f aca="false">IF(B905&gt;0,'Tax Tables'!$B$32*MIN(MAX(B905/'Tax Tables'!$B$32*'Tax Tables'!$B$33,'Tax Tables'!$B$34),'Tax Tables'!$B$35),0)</f>
        <v>0</v>
      </c>
      <c r="H905" s="11" t="n">
        <f aca="false">Calculator!$B$5-A905-F905-G905</f>
        <v>-46000</v>
      </c>
      <c r="I905" s="11" t="n">
        <f aca="false">'Tax Tables'!$B$22*(MAX(H905,0)-IF(Calculator!$B$10="Yes",MIN(MAX(H905,0),'Tax Tables'!$B$27)*'Tax Tables'!$B$28+MIN(MAX(MAX(H905,0)-'Tax Tables'!$B$27,0),'Tax Tables'!$B$29)*'Tax Tables'!$B$30,MIN(MAX(H905,0),'Tax Tables'!$B$23)*'Tax Tables'!$B$24+MIN(MAX(MAX(H905,0)-'Tax Tables'!$B$23,0),'Tax Tables'!$B$25)*'Tax Tables'!$B$26))*1-MIN('Tax Tables'!$B$22*(MAX(H905,0)-IF(Calculator!$B$10="Yes",MIN(MAX(H905,0),'Tax Tables'!$B$27)*'Tax Tables'!$B$28+MIN(MAX(MAX(H905,0)-'Tax Tables'!$B$27,0),'Tax Tables'!$B$29)*'Tax Tables'!$B$30,MIN(MAX(H905,0),'Tax Tables'!$B$23)*'Tax Tables'!$B$24+MIN(MAX(MAX(H905,0)-'Tax Tables'!$B$23,0),'Tax Tables'!$B$25)*'Tax Tables'!$B$26))*Calculator!$B$11,Calculator!$B$12)</f>
        <v>0</v>
      </c>
      <c r="J905" s="11" t="n">
        <f aca="false">MAX(H905,0)-I905</f>
        <v>0</v>
      </c>
      <c r="K905" s="11" t="n">
        <f aca="false">MIN(IF(A905&gt;0,Calculator!$B$13,0)+E905+Calculator!$B$14,'Tax Tables'!$B$36)</f>
        <v>1000</v>
      </c>
      <c r="L905" s="11" t="n">
        <f aca="false">MAX(A905-K905,0)</f>
        <v>445000</v>
      </c>
      <c r="M905" s="11" t="n">
        <f aca="false">SUMPRODUCT((L905&gt;'Tax Tables'!$A$5:$A$17)*(L905-'Tax Tables'!$A$5:$A$17)*'Tax Tables'!$C$5:$C$17)</f>
        <v>72050</v>
      </c>
      <c r="N905" s="11" t="n">
        <f aca="false">IF(H905&lt;0,-1E+099,A905-E905-M905+J905+(E905+F905)*Calculator!$B$9)</f>
        <v>-1E+099</v>
      </c>
      <c r="O905" s="2"/>
      <c r="P905" s="11" t="n">
        <f aca="false">892*$B$3</f>
        <v>446000</v>
      </c>
      <c r="Q905" s="11" t="n">
        <f aca="false">MIN(P905,'Tax Tables'!$B$31*'Tax Tables'!$B$32)</f>
        <v>96000</v>
      </c>
      <c r="R905" s="11" t="n">
        <f aca="false">P905-Q905</f>
        <v>350000</v>
      </c>
      <c r="S905" s="11" t="n">
        <f aca="false">IF(Calculator!$B$6="Yes",MIN(Q905,'Tax Tables'!$B$31*'Tax Tables'!$B$32),0)</f>
        <v>96000</v>
      </c>
      <c r="T905" s="11" t="n">
        <f aca="false">S905*Calculator!$B$7</f>
        <v>19200</v>
      </c>
      <c r="U905" s="11" t="n">
        <f aca="false">S905*Calculator!$B$8</f>
        <v>16320</v>
      </c>
      <c r="V905" s="11" t="n">
        <f aca="false">IF(Q905&gt;0,'Tax Tables'!$B$32*MIN(MAX(Q905/'Tax Tables'!$B$32*'Tax Tables'!$B$33,'Tax Tables'!$B$34),'Tax Tables'!$B$35),0)</f>
        <v>135</v>
      </c>
      <c r="W905" s="11" t="n">
        <f aca="false">Calculator!$B$5-P905-U905-V905</f>
        <v>-62455</v>
      </c>
      <c r="X905" s="11" t="n">
        <f aca="false">'Tax Tables'!$B$22*(MAX(W905,0)-IF(Calculator!$B$10="Yes",MIN(MAX(W905,0),'Tax Tables'!$B$27)*'Tax Tables'!$B$28+MIN(MAX(MAX(W905,0)-'Tax Tables'!$B$27,0),'Tax Tables'!$B$29)*'Tax Tables'!$B$30,MIN(MAX(W905,0),'Tax Tables'!$B$23)*'Tax Tables'!$B$24+MIN(MAX(MAX(W905,0)-'Tax Tables'!$B$23,0),'Tax Tables'!$B$25)*'Tax Tables'!$B$26))*1-MIN('Tax Tables'!$B$22*(MAX(W905,0)-IF(Calculator!$B$10="Yes",MIN(MAX(W905,0),'Tax Tables'!$B$27)*'Tax Tables'!$B$28+MIN(MAX(MAX(W905,0)-'Tax Tables'!$B$27,0),'Tax Tables'!$B$29)*'Tax Tables'!$B$30,MIN(MAX(W905,0),'Tax Tables'!$B$23)*'Tax Tables'!$B$24+MIN(MAX(MAX(W905,0)-'Tax Tables'!$B$23,0),'Tax Tables'!$B$25)*'Tax Tables'!$B$26))*Calculator!$B$11,Calculator!$B$12)</f>
        <v>0</v>
      </c>
      <c r="Y905" s="11" t="n">
        <f aca="false">MAX(W905,0)-X905</f>
        <v>0</v>
      </c>
      <c r="Z905" s="11" t="n">
        <f aca="false">MIN(IF(P905&gt;0,Calculator!$B$13,0)+T905+Calculator!$B$14,'Tax Tables'!$B$36)</f>
        <v>20200</v>
      </c>
      <c r="AA905" s="11" t="n">
        <f aca="false">MAX(P905-Z905,0)</f>
        <v>425800</v>
      </c>
      <c r="AB905" s="11" t="n">
        <f aca="false">SUMPRODUCT((AA905&gt;'Tax Tables'!$A$5:$A$17)*(AA905-'Tax Tables'!$A$5:$A$17)*'Tax Tables'!$C$5:$C$17)</f>
        <v>67826</v>
      </c>
      <c r="AC905" s="11" t="n">
        <f aca="false">IF(W905&lt;0,-1E+099,P905-T905-AB905+Y905+(T905+U905)*Calculator!$B$9)</f>
        <v>-1E+099</v>
      </c>
    </row>
    <row r="906" customFormat="false" ht="15" hidden="false" customHeight="false" outlineLevel="0" collapsed="false">
      <c r="A906" s="11" t="n">
        <f aca="false">893*$B$3</f>
        <v>446500</v>
      </c>
      <c r="B906" s="11" t="n">
        <f aca="false">0</f>
        <v>0</v>
      </c>
      <c r="C906" s="11" t="n">
        <f aca="false">A906-B906</f>
        <v>446500</v>
      </c>
      <c r="D906" s="11" t="n">
        <f aca="false">IF(Calculator!$B$6="Yes",MIN(B906,'Tax Tables'!$B$31*'Tax Tables'!$B$32),0)</f>
        <v>0</v>
      </c>
      <c r="E906" s="11" t="n">
        <f aca="false">D906*Calculator!$B$7</f>
        <v>0</v>
      </c>
      <c r="F906" s="11" t="n">
        <f aca="false">D906*Calculator!$B$8</f>
        <v>0</v>
      </c>
      <c r="G906" s="11" t="n">
        <f aca="false">IF(B906&gt;0,'Tax Tables'!$B$32*MIN(MAX(B906/'Tax Tables'!$B$32*'Tax Tables'!$B$33,'Tax Tables'!$B$34),'Tax Tables'!$B$35),0)</f>
        <v>0</v>
      </c>
      <c r="H906" s="11" t="n">
        <f aca="false">Calculator!$B$5-A906-F906-G906</f>
        <v>-46500</v>
      </c>
      <c r="I906" s="11" t="n">
        <f aca="false">'Tax Tables'!$B$22*(MAX(H906,0)-IF(Calculator!$B$10="Yes",MIN(MAX(H906,0),'Tax Tables'!$B$27)*'Tax Tables'!$B$28+MIN(MAX(MAX(H906,0)-'Tax Tables'!$B$27,0),'Tax Tables'!$B$29)*'Tax Tables'!$B$30,MIN(MAX(H906,0),'Tax Tables'!$B$23)*'Tax Tables'!$B$24+MIN(MAX(MAX(H906,0)-'Tax Tables'!$B$23,0),'Tax Tables'!$B$25)*'Tax Tables'!$B$26))*1-MIN('Tax Tables'!$B$22*(MAX(H906,0)-IF(Calculator!$B$10="Yes",MIN(MAX(H906,0),'Tax Tables'!$B$27)*'Tax Tables'!$B$28+MIN(MAX(MAX(H906,0)-'Tax Tables'!$B$27,0),'Tax Tables'!$B$29)*'Tax Tables'!$B$30,MIN(MAX(H906,0),'Tax Tables'!$B$23)*'Tax Tables'!$B$24+MIN(MAX(MAX(H906,0)-'Tax Tables'!$B$23,0),'Tax Tables'!$B$25)*'Tax Tables'!$B$26))*Calculator!$B$11,Calculator!$B$12)</f>
        <v>0</v>
      </c>
      <c r="J906" s="11" t="n">
        <f aca="false">MAX(H906,0)-I906</f>
        <v>0</v>
      </c>
      <c r="K906" s="11" t="n">
        <f aca="false">MIN(IF(A906&gt;0,Calculator!$B$13,0)+E906+Calculator!$B$14,'Tax Tables'!$B$36)</f>
        <v>1000</v>
      </c>
      <c r="L906" s="11" t="n">
        <f aca="false">MAX(A906-K906,0)</f>
        <v>445500</v>
      </c>
      <c r="M906" s="11" t="n">
        <f aca="false">SUMPRODUCT((L906&gt;'Tax Tables'!$A$5:$A$17)*(L906-'Tax Tables'!$A$5:$A$17)*'Tax Tables'!$C$5:$C$17)</f>
        <v>72160</v>
      </c>
      <c r="N906" s="11" t="n">
        <f aca="false">IF(H906&lt;0,-1E+099,A906-E906-M906+J906+(E906+F906)*Calculator!$B$9)</f>
        <v>-1E+099</v>
      </c>
      <c r="O906" s="2"/>
      <c r="P906" s="11" t="n">
        <f aca="false">893*$B$3</f>
        <v>446500</v>
      </c>
      <c r="Q906" s="11" t="n">
        <f aca="false">MIN(P906,'Tax Tables'!$B$31*'Tax Tables'!$B$32)</f>
        <v>96000</v>
      </c>
      <c r="R906" s="11" t="n">
        <f aca="false">P906-Q906</f>
        <v>350500</v>
      </c>
      <c r="S906" s="11" t="n">
        <f aca="false">IF(Calculator!$B$6="Yes",MIN(Q906,'Tax Tables'!$B$31*'Tax Tables'!$B$32),0)</f>
        <v>96000</v>
      </c>
      <c r="T906" s="11" t="n">
        <f aca="false">S906*Calculator!$B$7</f>
        <v>19200</v>
      </c>
      <c r="U906" s="11" t="n">
        <f aca="false">S906*Calculator!$B$8</f>
        <v>16320</v>
      </c>
      <c r="V906" s="11" t="n">
        <f aca="false">IF(Q906&gt;0,'Tax Tables'!$B$32*MIN(MAX(Q906/'Tax Tables'!$B$32*'Tax Tables'!$B$33,'Tax Tables'!$B$34),'Tax Tables'!$B$35),0)</f>
        <v>135</v>
      </c>
      <c r="W906" s="11" t="n">
        <f aca="false">Calculator!$B$5-P906-U906-V906</f>
        <v>-62955</v>
      </c>
      <c r="X906" s="11" t="n">
        <f aca="false">'Tax Tables'!$B$22*(MAX(W906,0)-IF(Calculator!$B$10="Yes",MIN(MAX(W906,0),'Tax Tables'!$B$27)*'Tax Tables'!$B$28+MIN(MAX(MAX(W906,0)-'Tax Tables'!$B$27,0),'Tax Tables'!$B$29)*'Tax Tables'!$B$30,MIN(MAX(W906,0),'Tax Tables'!$B$23)*'Tax Tables'!$B$24+MIN(MAX(MAX(W906,0)-'Tax Tables'!$B$23,0),'Tax Tables'!$B$25)*'Tax Tables'!$B$26))*1-MIN('Tax Tables'!$B$22*(MAX(W906,0)-IF(Calculator!$B$10="Yes",MIN(MAX(W906,0),'Tax Tables'!$B$27)*'Tax Tables'!$B$28+MIN(MAX(MAX(W906,0)-'Tax Tables'!$B$27,0),'Tax Tables'!$B$29)*'Tax Tables'!$B$30,MIN(MAX(W906,0),'Tax Tables'!$B$23)*'Tax Tables'!$B$24+MIN(MAX(MAX(W906,0)-'Tax Tables'!$B$23,0),'Tax Tables'!$B$25)*'Tax Tables'!$B$26))*Calculator!$B$11,Calculator!$B$12)</f>
        <v>0</v>
      </c>
      <c r="Y906" s="11" t="n">
        <f aca="false">MAX(W906,0)-X906</f>
        <v>0</v>
      </c>
      <c r="Z906" s="11" t="n">
        <f aca="false">MIN(IF(P906&gt;0,Calculator!$B$13,0)+T906+Calculator!$B$14,'Tax Tables'!$B$36)</f>
        <v>20200</v>
      </c>
      <c r="AA906" s="11" t="n">
        <f aca="false">MAX(P906-Z906,0)</f>
        <v>426300</v>
      </c>
      <c r="AB906" s="11" t="n">
        <f aca="false">SUMPRODUCT((AA906&gt;'Tax Tables'!$A$5:$A$17)*(AA906-'Tax Tables'!$A$5:$A$17)*'Tax Tables'!$C$5:$C$17)</f>
        <v>67936</v>
      </c>
      <c r="AC906" s="11" t="n">
        <f aca="false">IF(W906&lt;0,-1E+099,P906-T906-AB906+Y906+(T906+U906)*Calculator!$B$9)</f>
        <v>-1E+099</v>
      </c>
    </row>
    <row r="907" customFormat="false" ht="15" hidden="false" customHeight="false" outlineLevel="0" collapsed="false">
      <c r="A907" s="11" t="n">
        <f aca="false">894*$B$3</f>
        <v>447000</v>
      </c>
      <c r="B907" s="11" t="n">
        <f aca="false">0</f>
        <v>0</v>
      </c>
      <c r="C907" s="11" t="n">
        <f aca="false">A907-B907</f>
        <v>447000</v>
      </c>
      <c r="D907" s="11" t="n">
        <f aca="false">IF(Calculator!$B$6="Yes",MIN(B907,'Tax Tables'!$B$31*'Tax Tables'!$B$32),0)</f>
        <v>0</v>
      </c>
      <c r="E907" s="11" t="n">
        <f aca="false">D907*Calculator!$B$7</f>
        <v>0</v>
      </c>
      <c r="F907" s="11" t="n">
        <f aca="false">D907*Calculator!$B$8</f>
        <v>0</v>
      </c>
      <c r="G907" s="11" t="n">
        <f aca="false">IF(B907&gt;0,'Tax Tables'!$B$32*MIN(MAX(B907/'Tax Tables'!$B$32*'Tax Tables'!$B$33,'Tax Tables'!$B$34),'Tax Tables'!$B$35),0)</f>
        <v>0</v>
      </c>
      <c r="H907" s="11" t="n">
        <f aca="false">Calculator!$B$5-A907-F907-G907</f>
        <v>-47000</v>
      </c>
      <c r="I907" s="11" t="n">
        <f aca="false">'Tax Tables'!$B$22*(MAX(H907,0)-IF(Calculator!$B$10="Yes",MIN(MAX(H907,0),'Tax Tables'!$B$27)*'Tax Tables'!$B$28+MIN(MAX(MAX(H907,0)-'Tax Tables'!$B$27,0),'Tax Tables'!$B$29)*'Tax Tables'!$B$30,MIN(MAX(H907,0),'Tax Tables'!$B$23)*'Tax Tables'!$B$24+MIN(MAX(MAX(H907,0)-'Tax Tables'!$B$23,0),'Tax Tables'!$B$25)*'Tax Tables'!$B$26))*1-MIN('Tax Tables'!$B$22*(MAX(H907,0)-IF(Calculator!$B$10="Yes",MIN(MAX(H907,0),'Tax Tables'!$B$27)*'Tax Tables'!$B$28+MIN(MAX(MAX(H907,0)-'Tax Tables'!$B$27,0),'Tax Tables'!$B$29)*'Tax Tables'!$B$30,MIN(MAX(H907,0),'Tax Tables'!$B$23)*'Tax Tables'!$B$24+MIN(MAX(MAX(H907,0)-'Tax Tables'!$B$23,0),'Tax Tables'!$B$25)*'Tax Tables'!$B$26))*Calculator!$B$11,Calculator!$B$12)</f>
        <v>0</v>
      </c>
      <c r="J907" s="11" t="n">
        <f aca="false">MAX(H907,0)-I907</f>
        <v>0</v>
      </c>
      <c r="K907" s="11" t="n">
        <f aca="false">MIN(IF(A907&gt;0,Calculator!$B$13,0)+E907+Calculator!$B$14,'Tax Tables'!$B$36)</f>
        <v>1000</v>
      </c>
      <c r="L907" s="11" t="n">
        <f aca="false">MAX(A907-K907,0)</f>
        <v>446000</v>
      </c>
      <c r="M907" s="11" t="n">
        <f aca="false">SUMPRODUCT((L907&gt;'Tax Tables'!$A$5:$A$17)*(L907-'Tax Tables'!$A$5:$A$17)*'Tax Tables'!$C$5:$C$17)</f>
        <v>72270</v>
      </c>
      <c r="N907" s="11" t="n">
        <f aca="false">IF(H907&lt;0,-1E+099,A907-E907-M907+J907+(E907+F907)*Calculator!$B$9)</f>
        <v>-1E+099</v>
      </c>
      <c r="O907" s="2"/>
      <c r="P907" s="11" t="n">
        <f aca="false">894*$B$3</f>
        <v>447000</v>
      </c>
      <c r="Q907" s="11" t="n">
        <f aca="false">MIN(P907,'Tax Tables'!$B$31*'Tax Tables'!$B$32)</f>
        <v>96000</v>
      </c>
      <c r="R907" s="11" t="n">
        <f aca="false">P907-Q907</f>
        <v>351000</v>
      </c>
      <c r="S907" s="11" t="n">
        <f aca="false">IF(Calculator!$B$6="Yes",MIN(Q907,'Tax Tables'!$B$31*'Tax Tables'!$B$32),0)</f>
        <v>96000</v>
      </c>
      <c r="T907" s="11" t="n">
        <f aca="false">S907*Calculator!$B$7</f>
        <v>19200</v>
      </c>
      <c r="U907" s="11" t="n">
        <f aca="false">S907*Calculator!$B$8</f>
        <v>16320</v>
      </c>
      <c r="V907" s="11" t="n">
        <f aca="false">IF(Q907&gt;0,'Tax Tables'!$B$32*MIN(MAX(Q907/'Tax Tables'!$B$32*'Tax Tables'!$B$33,'Tax Tables'!$B$34),'Tax Tables'!$B$35),0)</f>
        <v>135</v>
      </c>
      <c r="W907" s="11" t="n">
        <f aca="false">Calculator!$B$5-P907-U907-V907</f>
        <v>-63455</v>
      </c>
      <c r="X907" s="11" t="n">
        <f aca="false">'Tax Tables'!$B$22*(MAX(W907,0)-IF(Calculator!$B$10="Yes",MIN(MAX(W907,0),'Tax Tables'!$B$27)*'Tax Tables'!$B$28+MIN(MAX(MAX(W907,0)-'Tax Tables'!$B$27,0),'Tax Tables'!$B$29)*'Tax Tables'!$B$30,MIN(MAX(W907,0),'Tax Tables'!$B$23)*'Tax Tables'!$B$24+MIN(MAX(MAX(W907,0)-'Tax Tables'!$B$23,0),'Tax Tables'!$B$25)*'Tax Tables'!$B$26))*1-MIN('Tax Tables'!$B$22*(MAX(W907,0)-IF(Calculator!$B$10="Yes",MIN(MAX(W907,0),'Tax Tables'!$B$27)*'Tax Tables'!$B$28+MIN(MAX(MAX(W907,0)-'Tax Tables'!$B$27,0),'Tax Tables'!$B$29)*'Tax Tables'!$B$30,MIN(MAX(W907,0),'Tax Tables'!$B$23)*'Tax Tables'!$B$24+MIN(MAX(MAX(W907,0)-'Tax Tables'!$B$23,0),'Tax Tables'!$B$25)*'Tax Tables'!$B$26))*Calculator!$B$11,Calculator!$B$12)</f>
        <v>0</v>
      </c>
      <c r="Y907" s="11" t="n">
        <f aca="false">MAX(W907,0)-X907</f>
        <v>0</v>
      </c>
      <c r="Z907" s="11" t="n">
        <f aca="false">MIN(IF(P907&gt;0,Calculator!$B$13,0)+T907+Calculator!$B$14,'Tax Tables'!$B$36)</f>
        <v>20200</v>
      </c>
      <c r="AA907" s="11" t="n">
        <f aca="false">MAX(P907-Z907,0)</f>
        <v>426800</v>
      </c>
      <c r="AB907" s="11" t="n">
        <f aca="false">SUMPRODUCT((AA907&gt;'Tax Tables'!$A$5:$A$17)*(AA907-'Tax Tables'!$A$5:$A$17)*'Tax Tables'!$C$5:$C$17)</f>
        <v>68046</v>
      </c>
      <c r="AC907" s="11" t="n">
        <f aca="false">IF(W907&lt;0,-1E+099,P907-T907-AB907+Y907+(T907+U907)*Calculator!$B$9)</f>
        <v>-1E+099</v>
      </c>
    </row>
    <row r="908" customFormat="false" ht="15" hidden="false" customHeight="false" outlineLevel="0" collapsed="false">
      <c r="A908" s="11" t="n">
        <f aca="false">895*$B$3</f>
        <v>447500</v>
      </c>
      <c r="B908" s="11" t="n">
        <f aca="false">0</f>
        <v>0</v>
      </c>
      <c r="C908" s="11" t="n">
        <f aca="false">A908-B908</f>
        <v>447500</v>
      </c>
      <c r="D908" s="11" t="n">
        <f aca="false">IF(Calculator!$B$6="Yes",MIN(B908,'Tax Tables'!$B$31*'Tax Tables'!$B$32),0)</f>
        <v>0</v>
      </c>
      <c r="E908" s="11" t="n">
        <f aca="false">D908*Calculator!$B$7</f>
        <v>0</v>
      </c>
      <c r="F908" s="11" t="n">
        <f aca="false">D908*Calculator!$B$8</f>
        <v>0</v>
      </c>
      <c r="G908" s="11" t="n">
        <f aca="false">IF(B908&gt;0,'Tax Tables'!$B$32*MIN(MAX(B908/'Tax Tables'!$B$32*'Tax Tables'!$B$33,'Tax Tables'!$B$34),'Tax Tables'!$B$35),0)</f>
        <v>0</v>
      </c>
      <c r="H908" s="11" t="n">
        <f aca="false">Calculator!$B$5-A908-F908-G908</f>
        <v>-47500</v>
      </c>
      <c r="I908" s="11" t="n">
        <f aca="false">'Tax Tables'!$B$22*(MAX(H908,0)-IF(Calculator!$B$10="Yes",MIN(MAX(H908,0),'Tax Tables'!$B$27)*'Tax Tables'!$B$28+MIN(MAX(MAX(H908,0)-'Tax Tables'!$B$27,0),'Tax Tables'!$B$29)*'Tax Tables'!$B$30,MIN(MAX(H908,0),'Tax Tables'!$B$23)*'Tax Tables'!$B$24+MIN(MAX(MAX(H908,0)-'Tax Tables'!$B$23,0),'Tax Tables'!$B$25)*'Tax Tables'!$B$26))*1-MIN('Tax Tables'!$B$22*(MAX(H908,0)-IF(Calculator!$B$10="Yes",MIN(MAX(H908,0),'Tax Tables'!$B$27)*'Tax Tables'!$B$28+MIN(MAX(MAX(H908,0)-'Tax Tables'!$B$27,0),'Tax Tables'!$B$29)*'Tax Tables'!$B$30,MIN(MAX(H908,0),'Tax Tables'!$B$23)*'Tax Tables'!$B$24+MIN(MAX(MAX(H908,0)-'Tax Tables'!$B$23,0),'Tax Tables'!$B$25)*'Tax Tables'!$B$26))*Calculator!$B$11,Calculator!$B$12)</f>
        <v>0</v>
      </c>
      <c r="J908" s="11" t="n">
        <f aca="false">MAX(H908,0)-I908</f>
        <v>0</v>
      </c>
      <c r="K908" s="11" t="n">
        <f aca="false">MIN(IF(A908&gt;0,Calculator!$B$13,0)+E908+Calculator!$B$14,'Tax Tables'!$B$36)</f>
        <v>1000</v>
      </c>
      <c r="L908" s="11" t="n">
        <f aca="false">MAX(A908-K908,0)</f>
        <v>446500</v>
      </c>
      <c r="M908" s="11" t="n">
        <f aca="false">SUMPRODUCT((L908&gt;'Tax Tables'!$A$5:$A$17)*(L908-'Tax Tables'!$A$5:$A$17)*'Tax Tables'!$C$5:$C$17)</f>
        <v>72380</v>
      </c>
      <c r="N908" s="11" t="n">
        <f aca="false">IF(H908&lt;0,-1E+099,A908-E908-M908+J908+(E908+F908)*Calculator!$B$9)</f>
        <v>-1E+099</v>
      </c>
      <c r="O908" s="2"/>
      <c r="P908" s="11" t="n">
        <f aca="false">895*$B$3</f>
        <v>447500</v>
      </c>
      <c r="Q908" s="11" t="n">
        <f aca="false">MIN(P908,'Tax Tables'!$B$31*'Tax Tables'!$B$32)</f>
        <v>96000</v>
      </c>
      <c r="R908" s="11" t="n">
        <f aca="false">P908-Q908</f>
        <v>351500</v>
      </c>
      <c r="S908" s="11" t="n">
        <f aca="false">IF(Calculator!$B$6="Yes",MIN(Q908,'Tax Tables'!$B$31*'Tax Tables'!$B$32),0)</f>
        <v>96000</v>
      </c>
      <c r="T908" s="11" t="n">
        <f aca="false">S908*Calculator!$B$7</f>
        <v>19200</v>
      </c>
      <c r="U908" s="11" t="n">
        <f aca="false">S908*Calculator!$B$8</f>
        <v>16320</v>
      </c>
      <c r="V908" s="11" t="n">
        <f aca="false">IF(Q908&gt;0,'Tax Tables'!$B$32*MIN(MAX(Q908/'Tax Tables'!$B$32*'Tax Tables'!$B$33,'Tax Tables'!$B$34),'Tax Tables'!$B$35),0)</f>
        <v>135</v>
      </c>
      <c r="W908" s="11" t="n">
        <f aca="false">Calculator!$B$5-P908-U908-V908</f>
        <v>-63955</v>
      </c>
      <c r="X908" s="11" t="n">
        <f aca="false">'Tax Tables'!$B$22*(MAX(W908,0)-IF(Calculator!$B$10="Yes",MIN(MAX(W908,0),'Tax Tables'!$B$27)*'Tax Tables'!$B$28+MIN(MAX(MAX(W908,0)-'Tax Tables'!$B$27,0),'Tax Tables'!$B$29)*'Tax Tables'!$B$30,MIN(MAX(W908,0),'Tax Tables'!$B$23)*'Tax Tables'!$B$24+MIN(MAX(MAX(W908,0)-'Tax Tables'!$B$23,0),'Tax Tables'!$B$25)*'Tax Tables'!$B$26))*1-MIN('Tax Tables'!$B$22*(MAX(W908,0)-IF(Calculator!$B$10="Yes",MIN(MAX(W908,0),'Tax Tables'!$B$27)*'Tax Tables'!$B$28+MIN(MAX(MAX(W908,0)-'Tax Tables'!$B$27,0),'Tax Tables'!$B$29)*'Tax Tables'!$B$30,MIN(MAX(W908,0),'Tax Tables'!$B$23)*'Tax Tables'!$B$24+MIN(MAX(MAX(W908,0)-'Tax Tables'!$B$23,0),'Tax Tables'!$B$25)*'Tax Tables'!$B$26))*Calculator!$B$11,Calculator!$B$12)</f>
        <v>0</v>
      </c>
      <c r="Y908" s="11" t="n">
        <f aca="false">MAX(W908,0)-X908</f>
        <v>0</v>
      </c>
      <c r="Z908" s="11" t="n">
        <f aca="false">MIN(IF(P908&gt;0,Calculator!$B$13,0)+T908+Calculator!$B$14,'Tax Tables'!$B$36)</f>
        <v>20200</v>
      </c>
      <c r="AA908" s="11" t="n">
        <f aca="false">MAX(P908-Z908,0)</f>
        <v>427300</v>
      </c>
      <c r="AB908" s="11" t="n">
        <f aca="false">SUMPRODUCT((AA908&gt;'Tax Tables'!$A$5:$A$17)*(AA908-'Tax Tables'!$A$5:$A$17)*'Tax Tables'!$C$5:$C$17)</f>
        <v>68156</v>
      </c>
      <c r="AC908" s="11" t="n">
        <f aca="false">IF(W908&lt;0,-1E+099,P908-T908-AB908+Y908+(T908+U908)*Calculator!$B$9)</f>
        <v>-1E+099</v>
      </c>
    </row>
    <row r="909" customFormat="false" ht="15" hidden="false" customHeight="false" outlineLevel="0" collapsed="false">
      <c r="A909" s="11" t="n">
        <f aca="false">896*$B$3</f>
        <v>448000</v>
      </c>
      <c r="B909" s="11" t="n">
        <f aca="false">0</f>
        <v>0</v>
      </c>
      <c r="C909" s="11" t="n">
        <f aca="false">A909-B909</f>
        <v>448000</v>
      </c>
      <c r="D909" s="11" t="n">
        <f aca="false">IF(Calculator!$B$6="Yes",MIN(B909,'Tax Tables'!$B$31*'Tax Tables'!$B$32),0)</f>
        <v>0</v>
      </c>
      <c r="E909" s="11" t="n">
        <f aca="false">D909*Calculator!$B$7</f>
        <v>0</v>
      </c>
      <c r="F909" s="11" t="n">
        <f aca="false">D909*Calculator!$B$8</f>
        <v>0</v>
      </c>
      <c r="G909" s="11" t="n">
        <f aca="false">IF(B909&gt;0,'Tax Tables'!$B$32*MIN(MAX(B909/'Tax Tables'!$B$32*'Tax Tables'!$B$33,'Tax Tables'!$B$34),'Tax Tables'!$B$35),0)</f>
        <v>0</v>
      </c>
      <c r="H909" s="11" t="n">
        <f aca="false">Calculator!$B$5-A909-F909-G909</f>
        <v>-48000</v>
      </c>
      <c r="I909" s="11" t="n">
        <f aca="false">'Tax Tables'!$B$22*(MAX(H909,0)-IF(Calculator!$B$10="Yes",MIN(MAX(H909,0),'Tax Tables'!$B$27)*'Tax Tables'!$B$28+MIN(MAX(MAX(H909,0)-'Tax Tables'!$B$27,0),'Tax Tables'!$B$29)*'Tax Tables'!$B$30,MIN(MAX(H909,0),'Tax Tables'!$B$23)*'Tax Tables'!$B$24+MIN(MAX(MAX(H909,0)-'Tax Tables'!$B$23,0),'Tax Tables'!$B$25)*'Tax Tables'!$B$26))*1-MIN('Tax Tables'!$B$22*(MAX(H909,0)-IF(Calculator!$B$10="Yes",MIN(MAX(H909,0),'Tax Tables'!$B$27)*'Tax Tables'!$B$28+MIN(MAX(MAX(H909,0)-'Tax Tables'!$B$27,0),'Tax Tables'!$B$29)*'Tax Tables'!$B$30,MIN(MAX(H909,0),'Tax Tables'!$B$23)*'Tax Tables'!$B$24+MIN(MAX(MAX(H909,0)-'Tax Tables'!$B$23,0),'Tax Tables'!$B$25)*'Tax Tables'!$B$26))*Calculator!$B$11,Calculator!$B$12)</f>
        <v>0</v>
      </c>
      <c r="J909" s="11" t="n">
        <f aca="false">MAX(H909,0)-I909</f>
        <v>0</v>
      </c>
      <c r="K909" s="11" t="n">
        <f aca="false">MIN(IF(A909&gt;0,Calculator!$B$13,0)+E909+Calculator!$B$14,'Tax Tables'!$B$36)</f>
        <v>1000</v>
      </c>
      <c r="L909" s="11" t="n">
        <f aca="false">MAX(A909-K909,0)</f>
        <v>447000</v>
      </c>
      <c r="M909" s="11" t="n">
        <f aca="false">SUMPRODUCT((L909&gt;'Tax Tables'!$A$5:$A$17)*(L909-'Tax Tables'!$A$5:$A$17)*'Tax Tables'!$C$5:$C$17)</f>
        <v>72490</v>
      </c>
      <c r="N909" s="11" t="n">
        <f aca="false">IF(H909&lt;0,-1E+099,A909-E909-M909+J909+(E909+F909)*Calculator!$B$9)</f>
        <v>-1E+099</v>
      </c>
      <c r="O909" s="2"/>
      <c r="P909" s="11" t="n">
        <f aca="false">896*$B$3</f>
        <v>448000</v>
      </c>
      <c r="Q909" s="11" t="n">
        <f aca="false">MIN(P909,'Tax Tables'!$B$31*'Tax Tables'!$B$32)</f>
        <v>96000</v>
      </c>
      <c r="R909" s="11" t="n">
        <f aca="false">P909-Q909</f>
        <v>352000</v>
      </c>
      <c r="S909" s="11" t="n">
        <f aca="false">IF(Calculator!$B$6="Yes",MIN(Q909,'Tax Tables'!$B$31*'Tax Tables'!$B$32),0)</f>
        <v>96000</v>
      </c>
      <c r="T909" s="11" t="n">
        <f aca="false">S909*Calculator!$B$7</f>
        <v>19200</v>
      </c>
      <c r="U909" s="11" t="n">
        <f aca="false">S909*Calculator!$B$8</f>
        <v>16320</v>
      </c>
      <c r="V909" s="11" t="n">
        <f aca="false">IF(Q909&gt;0,'Tax Tables'!$B$32*MIN(MAX(Q909/'Tax Tables'!$B$32*'Tax Tables'!$B$33,'Tax Tables'!$B$34),'Tax Tables'!$B$35),0)</f>
        <v>135</v>
      </c>
      <c r="W909" s="11" t="n">
        <f aca="false">Calculator!$B$5-P909-U909-V909</f>
        <v>-64455</v>
      </c>
      <c r="X909" s="11" t="n">
        <f aca="false">'Tax Tables'!$B$22*(MAX(W909,0)-IF(Calculator!$B$10="Yes",MIN(MAX(W909,0),'Tax Tables'!$B$27)*'Tax Tables'!$B$28+MIN(MAX(MAX(W909,0)-'Tax Tables'!$B$27,0),'Tax Tables'!$B$29)*'Tax Tables'!$B$30,MIN(MAX(W909,0),'Tax Tables'!$B$23)*'Tax Tables'!$B$24+MIN(MAX(MAX(W909,0)-'Tax Tables'!$B$23,0),'Tax Tables'!$B$25)*'Tax Tables'!$B$26))*1-MIN('Tax Tables'!$B$22*(MAX(W909,0)-IF(Calculator!$B$10="Yes",MIN(MAX(W909,0),'Tax Tables'!$B$27)*'Tax Tables'!$B$28+MIN(MAX(MAX(W909,0)-'Tax Tables'!$B$27,0),'Tax Tables'!$B$29)*'Tax Tables'!$B$30,MIN(MAX(W909,0),'Tax Tables'!$B$23)*'Tax Tables'!$B$24+MIN(MAX(MAX(W909,0)-'Tax Tables'!$B$23,0),'Tax Tables'!$B$25)*'Tax Tables'!$B$26))*Calculator!$B$11,Calculator!$B$12)</f>
        <v>0</v>
      </c>
      <c r="Y909" s="11" t="n">
        <f aca="false">MAX(W909,0)-X909</f>
        <v>0</v>
      </c>
      <c r="Z909" s="11" t="n">
        <f aca="false">MIN(IF(P909&gt;0,Calculator!$B$13,0)+T909+Calculator!$B$14,'Tax Tables'!$B$36)</f>
        <v>20200</v>
      </c>
      <c r="AA909" s="11" t="n">
        <f aca="false">MAX(P909-Z909,0)</f>
        <v>427800</v>
      </c>
      <c r="AB909" s="11" t="n">
        <f aca="false">SUMPRODUCT((AA909&gt;'Tax Tables'!$A$5:$A$17)*(AA909-'Tax Tables'!$A$5:$A$17)*'Tax Tables'!$C$5:$C$17)</f>
        <v>68266</v>
      </c>
      <c r="AC909" s="11" t="n">
        <f aca="false">IF(W909&lt;0,-1E+099,P909-T909-AB909+Y909+(T909+U909)*Calculator!$B$9)</f>
        <v>-1E+099</v>
      </c>
    </row>
    <row r="910" customFormat="false" ht="15" hidden="false" customHeight="false" outlineLevel="0" collapsed="false">
      <c r="A910" s="11" t="n">
        <f aca="false">897*$B$3</f>
        <v>448500</v>
      </c>
      <c r="B910" s="11" t="n">
        <f aca="false">0</f>
        <v>0</v>
      </c>
      <c r="C910" s="11" t="n">
        <f aca="false">A910-B910</f>
        <v>448500</v>
      </c>
      <c r="D910" s="11" t="n">
        <f aca="false">IF(Calculator!$B$6="Yes",MIN(B910,'Tax Tables'!$B$31*'Tax Tables'!$B$32),0)</f>
        <v>0</v>
      </c>
      <c r="E910" s="11" t="n">
        <f aca="false">D910*Calculator!$B$7</f>
        <v>0</v>
      </c>
      <c r="F910" s="11" t="n">
        <f aca="false">D910*Calculator!$B$8</f>
        <v>0</v>
      </c>
      <c r="G910" s="11" t="n">
        <f aca="false">IF(B910&gt;0,'Tax Tables'!$B$32*MIN(MAX(B910/'Tax Tables'!$B$32*'Tax Tables'!$B$33,'Tax Tables'!$B$34),'Tax Tables'!$B$35),0)</f>
        <v>0</v>
      </c>
      <c r="H910" s="11" t="n">
        <f aca="false">Calculator!$B$5-A910-F910-G910</f>
        <v>-48500</v>
      </c>
      <c r="I910" s="11" t="n">
        <f aca="false">'Tax Tables'!$B$22*(MAX(H910,0)-IF(Calculator!$B$10="Yes",MIN(MAX(H910,0),'Tax Tables'!$B$27)*'Tax Tables'!$B$28+MIN(MAX(MAX(H910,0)-'Tax Tables'!$B$27,0),'Tax Tables'!$B$29)*'Tax Tables'!$B$30,MIN(MAX(H910,0),'Tax Tables'!$B$23)*'Tax Tables'!$B$24+MIN(MAX(MAX(H910,0)-'Tax Tables'!$B$23,0),'Tax Tables'!$B$25)*'Tax Tables'!$B$26))*1-MIN('Tax Tables'!$B$22*(MAX(H910,0)-IF(Calculator!$B$10="Yes",MIN(MAX(H910,0),'Tax Tables'!$B$27)*'Tax Tables'!$B$28+MIN(MAX(MAX(H910,0)-'Tax Tables'!$B$27,0),'Tax Tables'!$B$29)*'Tax Tables'!$B$30,MIN(MAX(H910,0),'Tax Tables'!$B$23)*'Tax Tables'!$B$24+MIN(MAX(MAX(H910,0)-'Tax Tables'!$B$23,0),'Tax Tables'!$B$25)*'Tax Tables'!$B$26))*Calculator!$B$11,Calculator!$B$12)</f>
        <v>0</v>
      </c>
      <c r="J910" s="11" t="n">
        <f aca="false">MAX(H910,0)-I910</f>
        <v>0</v>
      </c>
      <c r="K910" s="11" t="n">
        <f aca="false">MIN(IF(A910&gt;0,Calculator!$B$13,0)+E910+Calculator!$B$14,'Tax Tables'!$B$36)</f>
        <v>1000</v>
      </c>
      <c r="L910" s="11" t="n">
        <f aca="false">MAX(A910-K910,0)</f>
        <v>447500</v>
      </c>
      <c r="M910" s="11" t="n">
        <f aca="false">SUMPRODUCT((L910&gt;'Tax Tables'!$A$5:$A$17)*(L910-'Tax Tables'!$A$5:$A$17)*'Tax Tables'!$C$5:$C$17)</f>
        <v>72600</v>
      </c>
      <c r="N910" s="11" t="n">
        <f aca="false">IF(H910&lt;0,-1E+099,A910-E910-M910+J910+(E910+F910)*Calculator!$B$9)</f>
        <v>-1E+099</v>
      </c>
      <c r="O910" s="2"/>
      <c r="P910" s="11" t="n">
        <f aca="false">897*$B$3</f>
        <v>448500</v>
      </c>
      <c r="Q910" s="11" t="n">
        <f aca="false">MIN(P910,'Tax Tables'!$B$31*'Tax Tables'!$B$32)</f>
        <v>96000</v>
      </c>
      <c r="R910" s="11" t="n">
        <f aca="false">P910-Q910</f>
        <v>352500</v>
      </c>
      <c r="S910" s="11" t="n">
        <f aca="false">IF(Calculator!$B$6="Yes",MIN(Q910,'Tax Tables'!$B$31*'Tax Tables'!$B$32),0)</f>
        <v>96000</v>
      </c>
      <c r="T910" s="11" t="n">
        <f aca="false">S910*Calculator!$B$7</f>
        <v>19200</v>
      </c>
      <c r="U910" s="11" t="n">
        <f aca="false">S910*Calculator!$B$8</f>
        <v>16320</v>
      </c>
      <c r="V910" s="11" t="n">
        <f aca="false">IF(Q910&gt;0,'Tax Tables'!$B$32*MIN(MAX(Q910/'Tax Tables'!$B$32*'Tax Tables'!$B$33,'Tax Tables'!$B$34),'Tax Tables'!$B$35),0)</f>
        <v>135</v>
      </c>
      <c r="W910" s="11" t="n">
        <f aca="false">Calculator!$B$5-P910-U910-V910</f>
        <v>-64955</v>
      </c>
      <c r="X910" s="11" t="n">
        <f aca="false">'Tax Tables'!$B$22*(MAX(W910,0)-IF(Calculator!$B$10="Yes",MIN(MAX(W910,0),'Tax Tables'!$B$27)*'Tax Tables'!$B$28+MIN(MAX(MAX(W910,0)-'Tax Tables'!$B$27,0),'Tax Tables'!$B$29)*'Tax Tables'!$B$30,MIN(MAX(W910,0),'Tax Tables'!$B$23)*'Tax Tables'!$B$24+MIN(MAX(MAX(W910,0)-'Tax Tables'!$B$23,0),'Tax Tables'!$B$25)*'Tax Tables'!$B$26))*1-MIN('Tax Tables'!$B$22*(MAX(W910,0)-IF(Calculator!$B$10="Yes",MIN(MAX(W910,0),'Tax Tables'!$B$27)*'Tax Tables'!$B$28+MIN(MAX(MAX(W910,0)-'Tax Tables'!$B$27,0),'Tax Tables'!$B$29)*'Tax Tables'!$B$30,MIN(MAX(W910,0),'Tax Tables'!$B$23)*'Tax Tables'!$B$24+MIN(MAX(MAX(W910,0)-'Tax Tables'!$B$23,0),'Tax Tables'!$B$25)*'Tax Tables'!$B$26))*Calculator!$B$11,Calculator!$B$12)</f>
        <v>0</v>
      </c>
      <c r="Y910" s="11" t="n">
        <f aca="false">MAX(W910,0)-X910</f>
        <v>0</v>
      </c>
      <c r="Z910" s="11" t="n">
        <f aca="false">MIN(IF(P910&gt;0,Calculator!$B$13,0)+T910+Calculator!$B$14,'Tax Tables'!$B$36)</f>
        <v>20200</v>
      </c>
      <c r="AA910" s="11" t="n">
        <f aca="false">MAX(P910-Z910,0)</f>
        <v>428300</v>
      </c>
      <c r="AB910" s="11" t="n">
        <f aca="false">SUMPRODUCT((AA910&gt;'Tax Tables'!$A$5:$A$17)*(AA910-'Tax Tables'!$A$5:$A$17)*'Tax Tables'!$C$5:$C$17)</f>
        <v>68376</v>
      </c>
      <c r="AC910" s="11" t="n">
        <f aca="false">IF(W910&lt;0,-1E+099,P910-T910-AB910+Y910+(T910+U910)*Calculator!$B$9)</f>
        <v>-1E+099</v>
      </c>
    </row>
    <row r="911" customFormat="false" ht="15" hidden="false" customHeight="false" outlineLevel="0" collapsed="false">
      <c r="A911" s="11" t="n">
        <f aca="false">898*$B$3</f>
        <v>449000</v>
      </c>
      <c r="B911" s="11" t="n">
        <f aca="false">0</f>
        <v>0</v>
      </c>
      <c r="C911" s="11" t="n">
        <f aca="false">A911-B911</f>
        <v>449000</v>
      </c>
      <c r="D911" s="11" t="n">
        <f aca="false">IF(Calculator!$B$6="Yes",MIN(B911,'Tax Tables'!$B$31*'Tax Tables'!$B$32),0)</f>
        <v>0</v>
      </c>
      <c r="E911" s="11" t="n">
        <f aca="false">D911*Calculator!$B$7</f>
        <v>0</v>
      </c>
      <c r="F911" s="11" t="n">
        <f aca="false">D911*Calculator!$B$8</f>
        <v>0</v>
      </c>
      <c r="G911" s="11" t="n">
        <f aca="false">IF(B911&gt;0,'Tax Tables'!$B$32*MIN(MAX(B911/'Tax Tables'!$B$32*'Tax Tables'!$B$33,'Tax Tables'!$B$34),'Tax Tables'!$B$35),0)</f>
        <v>0</v>
      </c>
      <c r="H911" s="11" t="n">
        <f aca="false">Calculator!$B$5-A911-F911-G911</f>
        <v>-49000</v>
      </c>
      <c r="I911" s="11" t="n">
        <f aca="false">'Tax Tables'!$B$22*(MAX(H911,0)-IF(Calculator!$B$10="Yes",MIN(MAX(H911,0),'Tax Tables'!$B$27)*'Tax Tables'!$B$28+MIN(MAX(MAX(H911,0)-'Tax Tables'!$B$27,0),'Tax Tables'!$B$29)*'Tax Tables'!$B$30,MIN(MAX(H911,0),'Tax Tables'!$B$23)*'Tax Tables'!$B$24+MIN(MAX(MAX(H911,0)-'Tax Tables'!$B$23,0),'Tax Tables'!$B$25)*'Tax Tables'!$B$26))*1-MIN('Tax Tables'!$B$22*(MAX(H911,0)-IF(Calculator!$B$10="Yes",MIN(MAX(H911,0),'Tax Tables'!$B$27)*'Tax Tables'!$B$28+MIN(MAX(MAX(H911,0)-'Tax Tables'!$B$27,0),'Tax Tables'!$B$29)*'Tax Tables'!$B$30,MIN(MAX(H911,0),'Tax Tables'!$B$23)*'Tax Tables'!$B$24+MIN(MAX(MAX(H911,0)-'Tax Tables'!$B$23,0),'Tax Tables'!$B$25)*'Tax Tables'!$B$26))*Calculator!$B$11,Calculator!$B$12)</f>
        <v>0</v>
      </c>
      <c r="J911" s="11" t="n">
        <f aca="false">MAX(H911,0)-I911</f>
        <v>0</v>
      </c>
      <c r="K911" s="11" t="n">
        <f aca="false">MIN(IF(A911&gt;0,Calculator!$B$13,0)+E911+Calculator!$B$14,'Tax Tables'!$B$36)</f>
        <v>1000</v>
      </c>
      <c r="L911" s="11" t="n">
        <f aca="false">MAX(A911-K911,0)</f>
        <v>448000</v>
      </c>
      <c r="M911" s="11" t="n">
        <f aca="false">SUMPRODUCT((L911&gt;'Tax Tables'!$A$5:$A$17)*(L911-'Tax Tables'!$A$5:$A$17)*'Tax Tables'!$C$5:$C$17)</f>
        <v>72710</v>
      </c>
      <c r="N911" s="11" t="n">
        <f aca="false">IF(H911&lt;0,-1E+099,A911-E911-M911+J911+(E911+F911)*Calculator!$B$9)</f>
        <v>-1E+099</v>
      </c>
      <c r="O911" s="2"/>
      <c r="P911" s="11" t="n">
        <f aca="false">898*$B$3</f>
        <v>449000</v>
      </c>
      <c r="Q911" s="11" t="n">
        <f aca="false">MIN(P911,'Tax Tables'!$B$31*'Tax Tables'!$B$32)</f>
        <v>96000</v>
      </c>
      <c r="R911" s="11" t="n">
        <f aca="false">P911-Q911</f>
        <v>353000</v>
      </c>
      <c r="S911" s="11" t="n">
        <f aca="false">IF(Calculator!$B$6="Yes",MIN(Q911,'Tax Tables'!$B$31*'Tax Tables'!$B$32),0)</f>
        <v>96000</v>
      </c>
      <c r="T911" s="11" t="n">
        <f aca="false">S911*Calculator!$B$7</f>
        <v>19200</v>
      </c>
      <c r="U911" s="11" t="n">
        <f aca="false">S911*Calculator!$B$8</f>
        <v>16320</v>
      </c>
      <c r="V911" s="11" t="n">
        <f aca="false">IF(Q911&gt;0,'Tax Tables'!$B$32*MIN(MAX(Q911/'Tax Tables'!$B$32*'Tax Tables'!$B$33,'Tax Tables'!$B$34),'Tax Tables'!$B$35),0)</f>
        <v>135</v>
      </c>
      <c r="W911" s="11" t="n">
        <f aca="false">Calculator!$B$5-P911-U911-V911</f>
        <v>-65455</v>
      </c>
      <c r="X911" s="11" t="n">
        <f aca="false">'Tax Tables'!$B$22*(MAX(W911,0)-IF(Calculator!$B$10="Yes",MIN(MAX(W911,0),'Tax Tables'!$B$27)*'Tax Tables'!$B$28+MIN(MAX(MAX(W911,0)-'Tax Tables'!$B$27,0),'Tax Tables'!$B$29)*'Tax Tables'!$B$30,MIN(MAX(W911,0),'Tax Tables'!$B$23)*'Tax Tables'!$B$24+MIN(MAX(MAX(W911,0)-'Tax Tables'!$B$23,0),'Tax Tables'!$B$25)*'Tax Tables'!$B$26))*1-MIN('Tax Tables'!$B$22*(MAX(W911,0)-IF(Calculator!$B$10="Yes",MIN(MAX(W911,0),'Tax Tables'!$B$27)*'Tax Tables'!$B$28+MIN(MAX(MAX(W911,0)-'Tax Tables'!$B$27,0),'Tax Tables'!$B$29)*'Tax Tables'!$B$30,MIN(MAX(W911,0),'Tax Tables'!$B$23)*'Tax Tables'!$B$24+MIN(MAX(MAX(W911,0)-'Tax Tables'!$B$23,0),'Tax Tables'!$B$25)*'Tax Tables'!$B$26))*Calculator!$B$11,Calculator!$B$12)</f>
        <v>0</v>
      </c>
      <c r="Y911" s="11" t="n">
        <f aca="false">MAX(W911,0)-X911</f>
        <v>0</v>
      </c>
      <c r="Z911" s="11" t="n">
        <f aca="false">MIN(IF(P911&gt;0,Calculator!$B$13,0)+T911+Calculator!$B$14,'Tax Tables'!$B$36)</f>
        <v>20200</v>
      </c>
      <c r="AA911" s="11" t="n">
        <f aca="false">MAX(P911-Z911,0)</f>
        <v>428800</v>
      </c>
      <c r="AB911" s="11" t="n">
        <f aca="false">SUMPRODUCT((AA911&gt;'Tax Tables'!$A$5:$A$17)*(AA911-'Tax Tables'!$A$5:$A$17)*'Tax Tables'!$C$5:$C$17)</f>
        <v>68486</v>
      </c>
      <c r="AC911" s="11" t="n">
        <f aca="false">IF(W911&lt;0,-1E+099,P911-T911-AB911+Y911+(T911+U911)*Calculator!$B$9)</f>
        <v>-1E+099</v>
      </c>
    </row>
    <row r="912" customFormat="false" ht="15" hidden="false" customHeight="false" outlineLevel="0" collapsed="false">
      <c r="A912" s="11" t="n">
        <f aca="false">899*$B$3</f>
        <v>449500</v>
      </c>
      <c r="B912" s="11" t="n">
        <f aca="false">0</f>
        <v>0</v>
      </c>
      <c r="C912" s="11" t="n">
        <f aca="false">A912-B912</f>
        <v>449500</v>
      </c>
      <c r="D912" s="11" t="n">
        <f aca="false">IF(Calculator!$B$6="Yes",MIN(B912,'Tax Tables'!$B$31*'Tax Tables'!$B$32),0)</f>
        <v>0</v>
      </c>
      <c r="E912" s="11" t="n">
        <f aca="false">D912*Calculator!$B$7</f>
        <v>0</v>
      </c>
      <c r="F912" s="11" t="n">
        <f aca="false">D912*Calculator!$B$8</f>
        <v>0</v>
      </c>
      <c r="G912" s="11" t="n">
        <f aca="false">IF(B912&gt;0,'Tax Tables'!$B$32*MIN(MAX(B912/'Tax Tables'!$B$32*'Tax Tables'!$B$33,'Tax Tables'!$B$34),'Tax Tables'!$B$35),0)</f>
        <v>0</v>
      </c>
      <c r="H912" s="11" t="n">
        <f aca="false">Calculator!$B$5-A912-F912-G912</f>
        <v>-49500</v>
      </c>
      <c r="I912" s="11" t="n">
        <f aca="false">'Tax Tables'!$B$22*(MAX(H912,0)-IF(Calculator!$B$10="Yes",MIN(MAX(H912,0),'Tax Tables'!$B$27)*'Tax Tables'!$B$28+MIN(MAX(MAX(H912,0)-'Tax Tables'!$B$27,0),'Tax Tables'!$B$29)*'Tax Tables'!$B$30,MIN(MAX(H912,0),'Tax Tables'!$B$23)*'Tax Tables'!$B$24+MIN(MAX(MAX(H912,0)-'Tax Tables'!$B$23,0),'Tax Tables'!$B$25)*'Tax Tables'!$B$26))*1-MIN('Tax Tables'!$B$22*(MAX(H912,0)-IF(Calculator!$B$10="Yes",MIN(MAX(H912,0),'Tax Tables'!$B$27)*'Tax Tables'!$B$28+MIN(MAX(MAX(H912,0)-'Tax Tables'!$B$27,0),'Tax Tables'!$B$29)*'Tax Tables'!$B$30,MIN(MAX(H912,0),'Tax Tables'!$B$23)*'Tax Tables'!$B$24+MIN(MAX(MAX(H912,0)-'Tax Tables'!$B$23,0),'Tax Tables'!$B$25)*'Tax Tables'!$B$26))*Calculator!$B$11,Calculator!$B$12)</f>
        <v>0</v>
      </c>
      <c r="J912" s="11" t="n">
        <f aca="false">MAX(H912,0)-I912</f>
        <v>0</v>
      </c>
      <c r="K912" s="11" t="n">
        <f aca="false">MIN(IF(A912&gt;0,Calculator!$B$13,0)+E912+Calculator!$B$14,'Tax Tables'!$B$36)</f>
        <v>1000</v>
      </c>
      <c r="L912" s="11" t="n">
        <f aca="false">MAX(A912-K912,0)</f>
        <v>448500</v>
      </c>
      <c r="M912" s="11" t="n">
        <f aca="false">SUMPRODUCT((L912&gt;'Tax Tables'!$A$5:$A$17)*(L912-'Tax Tables'!$A$5:$A$17)*'Tax Tables'!$C$5:$C$17)</f>
        <v>72820</v>
      </c>
      <c r="N912" s="11" t="n">
        <f aca="false">IF(H912&lt;0,-1E+099,A912-E912-M912+J912+(E912+F912)*Calculator!$B$9)</f>
        <v>-1E+099</v>
      </c>
      <c r="O912" s="2"/>
      <c r="P912" s="11" t="n">
        <f aca="false">899*$B$3</f>
        <v>449500</v>
      </c>
      <c r="Q912" s="11" t="n">
        <f aca="false">MIN(P912,'Tax Tables'!$B$31*'Tax Tables'!$B$32)</f>
        <v>96000</v>
      </c>
      <c r="R912" s="11" t="n">
        <f aca="false">P912-Q912</f>
        <v>353500</v>
      </c>
      <c r="S912" s="11" t="n">
        <f aca="false">IF(Calculator!$B$6="Yes",MIN(Q912,'Tax Tables'!$B$31*'Tax Tables'!$B$32),0)</f>
        <v>96000</v>
      </c>
      <c r="T912" s="11" t="n">
        <f aca="false">S912*Calculator!$B$7</f>
        <v>19200</v>
      </c>
      <c r="U912" s="11" t="n">
        <f aca="false">S912*Calculator!$B$8</f>
        <v>16320</v>
      </c>
      <c r="V912" s="11" t="n">
        <f aca="false">IF(Q912&gt;0,'Tax Tables'!$B$32*MIN(MAX(Q912/'Tax Tables'!$B$32*'Tax Tables'!$B$33,'Tax Tables'!$B$34),'Tax Tables'!$B$35),0)</f>
        <v>135</v>
      </c>
      <c r="W912" s="11" t="n">
        <f aca="false">Calculator!$B$5-P912-U912-V912</f>
        <v>-65955</v>
      </c>
      <c r="X912" s="11" t="n">
        <f aca="false">'Tax Tables'!$B$22*(MAX(W912,0)-IF(Calculator!$B$10="Yes",MIN(MAX(W912,0),'Tax Tables'!$B$27)*'Tax Tables'!$B$28+MIN(MAX(MAX(W912,0)-'Tax Tables'!$B$27,0),'Tax Tables'!$B$29)*'Tax Tables'!$B$30,MIN(MAX(W912,0),'Tax Tables'!$B$23)*'Tax Tables'!$B$24+MIN(MAX(MAX(W912,0)-'Tax Tables'!$B$23,0),'Tax Tables'!$B$25)*'Tax Tables'!$B$26))*1-MIN('Tax Tables'!$B$22*(MAX(W912,0)-IF(Calculator!$B$10="Yes",MIN(MAX(W912,0),'Tax Tables'!$B$27)*'Tax Tables'!$B$28+MIN(MAX(MAX(W912,0)-'Tax Tables'!$B$27,0),'Tax Tables'!$B$29)*'Tax Tables'!$B$30,MIN(MAX(W912,0),'Tax Tables'!$B$23)*'Tax Tables'!$B$24+MIN(MAX(MAX(W912,0)-'Tax Tables'!$B$23,0),'Tax Tables'!$B$25)*'Tax Tables'!$B$26))*Calculator!$B$11,Calculator!$B$12)</f>
        <v>0</v>
      </c>
      <c r="Y912" s="11" t="n">
        <f aca="false">MAX(W912,0)-X912</f>
        <v>0</v>
      </c>
      <c r="Z912" s="11" t="n">
        <f aca="false">MIN(IF(P912&gt;0,Calculator!$B$13,0)+T912+Calculator!$B$14,'Tax Tables'!$B$36)</f>
        <v>20200</v>
      </c>
      <c r="AA912" s="11" t="n">
        <f aca="false">MAX(P912-Z912,0)</f>
        <v>429300</v>
      </c>
      <c r="AB912" s="11" t="n">
        <f aca="false">SUMPRODUCT((AA912&gt;'Tax Tables'!$A$5:$A$17)*(AA912-'Tax Tables'!$A$5:$A$17)*'Tax Tables'!$C$5:$C$17)</f>
        <v>68596</v>
      </c>
      <c r="AC912" s="11" t="n">
        <f aca="false">IF(W912&lt;0,-1E+099,P912-T912-AB912+Y912+(T912+U912)*Calculator!$B$9)</f>
        <v>-1E+099</v>
      </c>
    </row>
    <row r="913" customFormat="false" ht="15" hidden="false" customHeight="false" outlineLevel="0" collapsed="false">
      <c r="A913" s="11" t="n">
        <f aca="false">900*$B$3</f>
        <v>450000</v>
      </c>
      <c r="B913" s="11" t="n">
        <f aca="false">0</f>
        <v>0</v>
      </c>
      <c r="C913" s="11" t="n">
        <f aca="false">A913-B913</f>
        <v>450000</v>
      </c>
      <c r="D913" s="11" t="n">
        <f aca="false">IF(Calculator!$B$6="Yes",MIN(B913,'Tax Tables'!$B$31*'Tax Tables'!$B$32),0)</f>
        <v>0</v>
      </c>
      <c r="E913" s="11" t="n">
        <f aca="false">D913*Calculator!$B$7</f>
        <v>0</v>
      </c>
      <c r="F913" s="11" t="n">
        <f aca="false">D913*Calculator!$B$8</f>
        <v>0</v>
      </c>
      <c r="G913" s="11" t="n">
        <f aca="false">IF(B913&gt;0,'Tax Tables'!$B$32*MIN(MAX(B913/'Tax Tables'!$B$32*'Tax Tables'!$B$33,'Tax Tables'!$B$34),'Tax Tables'!$B$35),0)</f>
        <v>0</v>
      </c>
      <c r="H913" s="11" t="n">
        <f aca="false">Calculator!$B$5-A913-F913-G913</f>
        <v>-50000</v>
      </c>
      <c r="I913" s="11" t="n">
        <f aca="false">'Tax Tables'!$B$22*(MAX(H913,0)-IF(Calculator!$B$10="Yes",MIN(MAX(H913,0),'Tax Tables'!$B$27)*'Tax Tables'!$B$28+MIN(MAX(MAX(H913,0)-'Tax Tables'!$B$27,0),'Tax Tables'!$B$29)*'Tax Tables'!$B$30,MIN(MAX(H913,0),'Tax Tables'!$B$23)*'Tax Tables'!$B$24+MIN(MAX(MAX(H913,0)-'Tax Tables'!$B$23,0),'Tax Tables'!$B$25)*'Tax Tables'!$B$26))*1-MIN('Tax Tables'!$B$22*(MAX(H913,0)-IF(Calculator!$B$10="Yes",MIN(MAX(H913,0),'Tax Tables'!$B$27)*'Tax Tables'!$B$28+MIN(MAX(MAX(H913,0)-'Tax Tables'!$B$27,0),'Tax Tables'!$B$29)*'Tax Tables'!$B$30,MIN(MAX(H913,0),'Tax Tables'!$B$23)*'Tax Tables'!$B$24+MIN(MAX(MAX(H913,0)-'Tax Tables'!$B$23,0),'Tax Tables'!$B$25)*'Tax Tables'!$B$26))*Calculator!$B$11,Calculator!$B$12)</f>
        <v>0</v>
      </c>
      <c r="J913" s="11" t="n">
        <f aca="false">MAX(H913,0)-I913</f>
        <v>0</v>
      </c>
      <c r="K913" s="11" t="n">
        <f aca="false">MIN(IF(A913&gt;0,Calculator!$B$13,0)+E913+Calculator!$B$14,'Tax Tables'!$B$36)</f>
        <v>1000</v>
      </c>
      <c r="L913" s="11" t="n">
        <f aca="false">MAX(A913-K913,0)</f>
        <v>449000</v>
      </c>
      <c r="M913" s="11" t="n">
        <f aca="false">SUMPRODUCT((L913&gt;'Tax Tables'!$A$5:$A$17)*(L913-'Tax Tables'!$A$5:$A$17)*'Tax Tables'!$C$5:$C$17)</f>
        <v>72930</v>
      </c>
      <c r="N913" s="11" t="n">
        <f aca="false">IF(H913&lt;0,-1E+099,A913-E913-M913+J913+(E913+F913)*Calculator!$B$9)</f>
        <v>-1E+099</v>
      </c>
      <c r="O913" s="2"/>
      <c r="P913" s="11" t="n">
        <f aca="false">900*$B$3</f>
        <v>450000</v>
      </c>
      <c r="Q913" s="11" t="n">
        <f aca="false">MIN(P913,'Tax Tables'!$B$31*'Tax Tables'!$B$32)</f>
        <v>96000</v>
      </c>
      <c r="R913" s="11" t="n">
        <f aca="false">P913-Q913</f>
        <v>354000</v>
      </c>
      <c r="S913" s="11" t="n">
        <f aca="false">IF(Calculator!$B$6="Yes",MIN(Q913,'Tax Tables'!$B$31*'Tax Tables'!$B$32),0)</f>
        <v>96000</v>
      </c>
      <c r="T913" s="11" t="n">
        <f aca="false">S913*Calculator!$B$7</f>
        <v>19200</v>
      </c>
      <c r="U913" s="11" t="n">
        <f aca="false">S913*Calculator!$B$8</f>
        <v>16320</v>
      </c>
      <c r="V913" s="11" t="n">
        <f aca="false">IF(Q913&gt;0,'Tax Tables'!$B$32*MIN(MAX(Q913/'Tax Tables'!$B$32*'Tax Tables'!$B$33,'Tax Tables'!$B$34),'Tax Tables'!$B$35),0)</f>
        <v>135</v>
      </c>
      <c r="W913" s="11" t="n">
        <f aca="false">Calculator!$B$5-P913-U913-V913</f>
        <v>-66455</v>
      </c>
      <c r="X913" s="11" t="n">
        <f aca="false">'Tax Tables'!$B$22*(MAX(W913,0)-IF(Calculator!$B$10="Yes",MIN(MAX(W913,0),'Tax Tables'!$B$27)*'Tax Tables'!$B$28+MIN(MAX(MAX(W913,0)-'Tax Tables'!$B$27,0),'Tax Tables'!$B$29)*'Tax Tables'!$B$30,MIN(MAX(W913,0),'Tax Tables'!$B$23)*'Tax Tables'!$B$24+MIN(MAX(MAX(W913,0)-'Tax Tables'!$B$23,0),'Tax Tables'!$B$25)*'Tax Tables'!$B$26))*1-MIN('Tax Tables'!$B$22*(MAX(W913,0)-IF(Calculator!$B$10="Yes",MIN(MAX(W913,0),'Tax Tables'!$B$27)*'Tax Tables'!$B$28+MIN(MAX(MAX(W913,0)-'Tax Tables'!$B$27,0),'Tax Tables'!$B$29)*'Tax Tables'!$B$30,MIN(MAX(W913,0),'Tax Tables'!$B$23)*'Tax Tables'!$B$24+MIN(MAX(MAX(W913,0)-'Tax Tables'!$B$23,0),'Tax Tables'!$B$25)*'Tax Tables'!$B$26))*Calculator!$B$11,Calculator!$B$12)</f>
        <v>0</v>
      </c>
      <c r="Y913" s="11" t="n">
        <f aca="false">MAX(W913,0)-X913</f>
        <v>0</v>
      </c>
      <c r="Z913" s="11" t="n">
        <f aca="false">MIN(IF(P913&gt;0,Calculator!$B$13,0)+T913+Calculator!$B$14,'Tax Tables'!$B$36)</f>
        <v>20200</v>
      </c>
      <c r="AA913" s="11" t="n">
        <f aca="false">MAX(P913-Z913,0)</f>
        <v>429800</v>
      </c>
      <c r="AB913" s="11" t="n">
        <f aca="false">SUMPRODUCT((AA913&gt;'Tax Tables'!$A$5:$A$17)*(AA913-'Tax Tables'!$A$5:$A$17)*'Tax Tables'!$C$5:$C$17)</f>
        <v>68706</v>
      </c>
      <c r="AC913" s="11" t="n">
        <f aca="false">IF(W913&lt;0,-1E+099,P913-T913-AB913+Y913+(T913+U913)*Calculator!$B$9)</f>
        <v>-1E+099</v>
      </c>
    </row>
    <row r="914" customFormat="false" ht="15" hidden="false" customHeight="false" outlineLevel="0" collapsed="false">
      <c r="A914" s="11" t="n">
        <f aca="false">901*$B$3</f>
        <v>450500</v>
      </c>
      <c r="B914" s="11" t="n">
        <f aca="false">0</f>
        <v>0</v>
      </c>
      <c r="C914" s="11" t="n">
        <f aca="false">A914-B914</f>
        <v>450500</v>
      </c>
      <c r="D914" s="11" t="n">
        <f aca="false">IF(Calculator!$B$6="Yes",MIN(B914,'Tax Tables'!$B$31*'Tax Tables'!$B$32),0)</f>
        <v>0</v>
      </c>
      <c r="E914" s="11" t="n">
        <f aca="false">D914*Calculator!$B$7</f>
        <v>0</v>
      </c>
      <c r="F914" s="11" t="n">
        <f aca="false">D914*Calculator!$B$8</f>
        <v>0</v>
      </c>
      <c r="G914" s="11" t="n">
        <f aca="false">IF(B914&gt;0,'Tax Tables'!$B$32*MIN(MAX(B914/'Tax Tables'!$B$32*'Tax Tables'!$B$33,'Tax Tables'!$B$34),'Tax Tables'!$B$35),0)</f>
        <v>0</v>
      </c>
      <c r="H914" s="11" t="n">
        <f aca="false">Calculator!$B$5-A914-F914-G914</f>
        <v>-50500</v>
      </c>
      <c r="I914" s="11" t="n">
        <f aca="false">'Tax Tables'!$B$22*(MAX(H914,0)-IF(Calculator!$B$10="Yes",MIN(MAX(H914,0),'Tax Tables'!$B$27)*'Tax Tables'!$B$28+MIN(MAX(MAX(H914,0)-'Tax Tables'!$B$27,0),'Tax Tables'!$B$29)*'Tax Tables'!$B$30,MIN(MAX(H914,0),'Tax Tables'!$B$23)*'Tax Tables'!$B$24+MIN(MAX(MAX(H914,0)-'Tax Tables'!$B$23,0),'Tax Tables'!$B$25)*'Tax Tables'!$B$26))*1-MIN('Tax Tables'!$B$22*(MAX(H914,0)-IF(Calculator!$B$10="Yes",MIN(MAX(H914,0),'Tax Tables'!$B$27)*'Tax Tables'!$B$28+MIN(MAX(MAX(H914,0)-'Tax Tables'!$B$27,0),'Tax Tables'!$B$29)*'Tax Tables'!$B$30,MIN(MAX(H914,0),'Tax Tables'!$B$23)*'Tax Tables'!$B$24+MIN(MAX(MAX(H914,0)-'Tax Tables'!$B$23,0),'Tax Tables'!$B$25)*'Tax Tables'!$B$26))*Calculator!$B$11,Calculator!$B$12)</f>
        <v>0</v>
      </c>
      <c r="J914" s="11" t="n">
        <f aca="false">MAX(H914,0)-I914</f>
        <v>0</v>
      </c>
      <c r="K914" s="11" t="n">
        <f aca="false">MIN(IF(A914&gt;0,Calculator!$B$13,0)+E914+Calculator!$B$14,'Tax Tables'!$B$36)</f>
        <v>1000</v>
      </c>
      <c r="L914" s="11" t="n">
        <f aca="false">MAX(A914-K914,0)</f>
        <v>449500</v>
      </c>
      <c r="M914" s="11" t="n">
        <f aca="false">SUMPRODUCT((L914&gt;'Tax Tables'!$A$5:$A$17)*(L914-'Tax Tables'!$A$5:$A$17)*'Tax Tables'!$C$5:$C$17)</f>
        <v>73040</v>
      </c>
      <c r="N914" s="11" t="n">
        <f aca="false">IF(H914&lt;0,-1E+099,A914-E914-M914+J914+(E914+F914)*Calculator!$B$9)</f>
        <v>-1E+099</v>
      </c>
      <c r="O914" s="2"/>
      <c r="P914" s="11" t="n">
        <f aca="false">901*$B$3</f>
        <v>450500</v>
      </c>
      <c r="Q914" s="11" t="n">
        <f aca="false">MIN(P914,'Tax Tables'!$B$31*'Tax Tables'!$B$32)</f>
        <v>96000</v>
      </c>
      <c r="R914" s="11" t="n">
        <f aca="false">P914-Q914</f>
        <v>354500</v>
      </c>
      <c r="S914" s="11" t="n">
        <f aca="false">IF(Calculator!$B$6="Yes",MIN(Q914,'Tax Tables'!$B$31*'Tax Tables'!$B$32),0)</f>
        <v>96000</v>
      </c>
      <c r="T914" s="11" t="n">
        <f aca="false">S914*Calculator!$B$7</f>
        <v>19200</v>
      </c>
      <c r="U914" s="11" t="n">
        <f aca="false">S914*Calculator!$B$8</f>
        <v>16320</v>
      </c>
      <c r="V914" s="11" t="n">
        <f aca="false">IF(Q914&gt;0,'Tax Tables'!$B$32*MIN(MAX(Q914/'Tax Tables'!$B$32*'Tax Tables'!$B$33,'Tax Tables'!$B$34),'Tax Tables'!$B$35),0)</f>
        <v>135</v>
      </c>
      <c r="W914" s="11" t="n">
        <f aca="false">Calculator!$B$5-P914-U914-V914</f>
        <v>-66955</v>
      </c>
      <c r="X914" s="11" t="n">
        <f aca="false">'Tax Tables'!$B$22*(MAX(W914,0)-IF(Calculator!$B$10="Yes",MIN(MAX(W914,0),'Tax Tables'!$B$27)*'Tax Tables'!$B$28+MIN(MAX(MAX(W914,0)-'Tax Tables'!$B$27,0),'Tax Tables'!$B$29)*'Tax Tables'!$B$30,MIN(MAX(W914,0),'Tax Tables'!$B$23)*'Tax Tables'!$B$24+MIN(MAX(MAX(W914,0)-'Tax Tables'!$B$23,0),'Tax Tables'!$B$25)*'Tax Tables'!$B$26))*1-MIN('Tax Tables'!$B$22*(MAX(W914,0)-IF(Calculator!$B$10="Yes",MIN(MAX(W914,0),'Tax Tables'!$B$27)*'Tax Tables'!$B$28+MIN(MAX(MAX(W914,0)-'Tax Tables'!$B$27,0),'Tax Tables'!$B$29)*'Tax Tables'!$B$30,MIN(MAX(W914,0),'Tax Tables'!$B$23)*'Tax Tables'!$B$24+MIN(MAX(MAX(W914,0)-'Tax Tables'!$B$23,0),'Tax Tables'!$B$25)*'Tax Tables'!$B$26))*Calculator!$B$11,Calculator!$B$12)</f>
        <v>0</v>
      </c>
      <c r="Y914" s="11" t="n">
        <f aca="false">MAX(W914,0)-X914</f>
        <v>0</v>
      </c>
      <c r="Z914" s="11" t="n">
        <f aca="false">MIN(IF(P914&gt;0,Calculator!$B$13,0)+T914+Calculator!$B$14,'Tax Tables'!$B$36)</f>
        <v>20200</v>
      </c>
      <c r="AA914" s="11" t="n">
        <f aca="false">MAX(P914-Z914,0)</f>
        <v>430300</v>
      </c>
      <c r="AB914" s="11" t="n">
        <f aca="false">SUMPRODUCT((AA914&gt;'Tax Tables'!$A$5:$A$17)*(AA914-'Tax Tables'!$A$5:$A$17)*'Tax Tables'!$C$5:$C$17)</f>
        <v>68816</v>
      </c>
      <c r="AC914" s="11" t="n">
        <f aca="false">IF(W914&lt;0,-1E+099,P914-T914-AB914+Y914+(T914+U914)*Calculator!$B$9)</f>
        <v>-1E+099</v>
      </c>
    </row>
    <row r="915" customFormat="false" ht="15" hidden="false" customHeight="false" outlineLevel="0" collapsed="false">
      <c r="A915" s="11" t="n">
        <f aca="false">902*$B$3</f>
        <v>451000</v>
      </c>
      <c r="B915" s="11" t="n">
        <f aca="false">0</f>
        <v>0</v>
      </c>
      <c r="C915" s="11" t="n">
        <f aca="false">A915-B915</f>
        <v>451000</v>
      </c>
      <c r="D915" s="11" t="n">
        <f aca="false">IF(Calculator!$B$6="Yes",MIN(B915,'Tax Tables'!$B$31*'Tax Tables'!$B$32),0)</f>
        <v>0</v>
      </c>
      <c r="E915" s="11" t="n">
        <f aca="false">D915*Calculator!$B$7</f>
        <v>0</v>
      </c>
      <c r="F915" s="11" t="n">
        <f aca="false">D915*Calculator!$B$8</f>
        <v>0</v>
      </c>
      <c r="G915" s="11" t="n">
        <f aca="false">IF(B915&gt;0,'Tax Tables'!$B$32*MIN(MAX(B915/'Tax Tables'!$B$32*'Tax Tables'!$B$33,'Tax Tables'!$B$34),'Tax Tables'!$B$35),0)</f>
        <v>0</v>
      </c>
      <c r="H915" s="11" t="n">
        <f aca="false">Calculator!$B$5-A915-F915-G915</f>
        <v>-51000</v>
      </c>
      <c r="I915" s="11" t="n">
        <f aca="false">'Tax Tables'!$B$22*(MAX(H915,0)-IF(Calculator!$B$10="Yes",MIN(MAX(H915,0),'Tax Tables'!$B$27)*'Tax Tables'!$B$28+MIN(MAX(MAX(H915,0)-'Tax Tables'!$B$27,0),'Tax Tables'!$B$29)*'Tax Tables'!$B$30,MIN(MAX(H915,0),'Tax Tables'!$B$23)*'Tax Tables'!$B$24+MIN(MAX(MAX(H915,0)-'Tax Tables'!$B$23,0),'Tax Tables'!$B$25)*'Tax Tables'!$B$26))*1-MIN('Tax Tables'!$B$22*(MAX(H915,0)-IF(Calculator!$B$10="Yes",MIN(MAX(H915,0),'Tax Tables'!$B$27)*'Tax Tables'!$B$28+MIN(MAX(MAX(H915,0)-'Tax Tables'!$B$27,0),'Tax Tables'!$B$29)*'Tax Tables'!$B$30,MIN(MAX(H915,0),'Tax Tables'!$B$23)*'Tax Tables'!$B$24+MIN(MAX(MAX(H915,0)-'Tax Tables'!$B$23,0),'Tax Tables'!$B$25)*'Tax Tables'!$B$26))*Calculator!$B$11,Calculator!$B$12)</f>
        <v>0</v>
      </c>
      <c r="J915" s="11" t="n">
        <f aca="false">MAX(H915,0)-I915</f>
        <v>0</v>
      </c>
      <c r="K915" s="11" t="n">
        <f aca="false">MIN(IF(A915&gt;0,Calculator!$B$13,0)+E915+Calculator!$B$14,'Tax Tables'!$B$36)</f>
        <v>1000</v>
      </c>
      <c r="L915" s="11" t="n">
        <f aca="false">MAX(A915-K915,0)</f>
        <v>450000</v>
      </c>
      <c r="M915" s="11" t="n">
        <f aca="false">SUMPRODUCT((L915&gt;'Tax Tables'!$A$5:$A$17)*(L915-'Tax Tables'!$A$5:$A$17)*'Tax Tables'!$C$5:$C$17)</f>
        <v>73150</v>
      </c>
      <c r="N915" s="11" t="n">
        <f aca="false">IF(H915&lt;0,-1E+099,A915-E915-M915+J915+(E915+F915)*Calculator!$B$9)</f>
        <v>-1E+099</v>
      </c>
      <c r="O915" s="2"/>
      <c r="P915" s="11" t="n">
        <f aca="false">902*$B$3</f>
        <v>451000</v>
      </c>
      <c r="Q915" s="11" t="n">
        <f aca="false">MIN(P915,'Tax Tables'!$B$31*'Tax Tables'!$B$32)</f>
        <v>96000</v>
      </c>
      <c r="R915" s="11" t="n">
        <f aca="false">P915-Q915</f>
        <v>355000</v>
      </c>
      <c r="S915" s="11" t="n">
        <f aca="false">IF(Calculator!$B$6="Yes",MIN(Q915,'Tax Tables'!$B$31*'Tax Tables'!$B$32),0)</f>
        <v>96000</v>
      </c>
      <c r="T915" s="11" t="n">
        <f aca="false">S915*Calculator!$B$7</f>
        <v>19200</v>
      </c>
      <c r="U915" s="11" t="n">
        <f aca="false">S915*Calculator!$B$8</f>
        <v>16320</v>
      </c>
      <c r="V915" s="11" t="n">
        <f aca="false">IF(Q915&gt;0,'Tax Tables'!$B$32*MIN(MAX(Q915/'Tax Tables'!$B$32*'Tax Tables'!$B$33,'Tax Tables'!$B$34),'Tax Tables'!$B$35),0)</f>
        <v>135</v>
      </c>
      <c r="W915" s="11" t="n">
        <f aca="false">Calculator!$B$5-P915-U915-V915</f>
        <v>-67455</v>
      </c>
      <c r="X915" s="11" t="n">
        <f aca="false">'Tax Tables'!$B$22*(MAX(W915,0)-IF(Calculator!$B$10="Yes",MIN(MAX(W915,0),'Tax Tables'!$B$27)*'Tax Tables'!$B$28+MIN(MAX(MAX(W915,0)-'Tax Tables'!$B$27,0),'Tax Tables'!$B$29)*'Tax Tables'!$B$30,MIN(MAX(W915,0),'Tax Tables'!$B$23)*'Tax Tables'!$B$24+MIN(MAX(MAX(W915,0)-'Tax Tables'!$B$23,0),'Tax Tables'!$B$25)*'Tax Tables'!$B$26))*1-MIN('Tax Tables'!$B$22*(MAX(W915,0)-IF(Calculator!$B$10="Yes",MIN(MAX(W915,0),'Tax Tables'!$B$27)*'Tax Tables'!$B$28+MIN(MAX(MAX(W915,0)-'Tax Tables'!$B$27,0),'Tax Tables'!$B$29)*'Tax Tables'!$B$30,MIN(MAX(W915,0),'Tax Tables'!$B$23)*'Tax Tables'!$B$24+MIN(MAX(MAX(W915,0)-'Tax Tables'!$B$23,0),'Tax Tables'!$B$25)*'Tax Tables'!$B$26))*Calculator!$B$11,Calculator!$B$12)</f>
        <v>0</v>
      </c>
      <c r="Y915" s="11" t="n">
        <f aca="false">MAX(W915,0)-X915</f>
        <v>0</v>
      </c>
      <c r="Z915" s="11" t="n">
        <f aca="false">MIN(IF(P915&gt;0,Calculator!$B$13,0)+T915+Calculator!$B$14,'Tax Tables'!$B$36)</f>
        <v>20200</v>
      </c>
      <c r="AA915" s="11" t="n">
        <f aca="false">MAX(P915-Z915,0)</f>
        <v>430800</v>
      </c>
      <c r="AB915" s="11" t="n">
        <f aca="false">SUMPRODUCT((AA915&gt;'Tax Tables'!$A$5:$A$17)*(AA915-'Tax Tables'!$A$5:$A$17)*'Tax Tables'!$C$5:$C$17)</f>
        <v>68926</v>
      </c>
      <c r="AC915" s="11" t="n">
        <f aca="false">IF(W915&lt;0,-1E+099,P915-T915-AB915+Y915+(T915+U915)*Calculator!$B$9)</f>
        <v>-1E+099</v>
      </c>
    </row>
    <row r="916" customFormat="false" ht="15" hidden="false" customHeight="false" outlineLevel="0" collapsed="false">
      <c r="A916" s="11" t="n">
        <f aca="false">903*$B$3</f>
        <v>451500</v>
      </c>
      <c r="B916" s="11" t="n">
        <f aca="false">0</f>
        <v>0</v>
      </c>
      <c r="C916" s="11" t="n">
        <f aca="false">A916-B916</f>
        <v>451500</v>
      </c>
      <c r="D916" s="11" t="n">
        <f aca="false">IF(Calculator!$B$6="Yes",MIN(B916,'Tax Tables'!$B$31*'Tax Tables'!$B$32),0)</f>
        <v>0</v>
      </c>
      <c r="E916" s="11" t="n">
        <f aca="false">D916*Calculator!$B$7</f>
        <v>0</v>
      </c>
      <c r="F916" s="11" t="n">
        <f aca="false">D916*Calculator!$B$8</f>
        <v>0</v>
      </c>
      <c r="G916" s="11" t="n">
        <f aca="false">IF(B916&gt;0,'Tax Tables'!$B$32*MIN(MAX(B916/'Tax Tables'!$B$32*'Tax Tables'!$B$33,'Tax Tables'!$B$34),'Tax Tables'!$B$35),0)</f>
        <v>0</v>
      </c>
      <c r="H916" s="11" t="n">
        <f aca="false">Calculator!$B$5-A916-F916-G916</f>
        <v>-51500</v>
      </c>
      <c r="I916" s="11" t="n">
        <f aca="false">'Tax Tables'!$B$22*(MAX(H916,0)-IF(Calculator!$B$10="Yes",MIN(MAX(H916,0),'Tax Tables'!$B$27)*'Tax Tables'!$B$28+MIN(MAX(MAX(H916,0)-'Tax Tables'!$B$27,0),'Tax Tables'!$B$29)*'Tax Tables'!$B$30,MIN(MAX(H916,0),'Tax Tables'!$B$23)*'Tax Tables'!$B$24+MIN(MAX(MAX(H916,0)-'Tax Tables'!$B$23,0),'Tax Tables'!$B$25)*'Tax Tables'!$B$26))*1-MIN('Tax Tables'!$B$22*(MAX(H916,0)-IF(Calculator!$B$10="Yes",MIN(MAX(H916,0),'Tax Tables'!$B$27)*'Tax Tables'!$B$28+MIN(MAX(MAX(H916,0)-'Tax Tables'!$B$27,0),'Tax Tables'!$B$29)*'Tax Tables'!$B$30,MIN(MAX(H916,0),'Tax Tables'!$B$23)*'Tax Tables'!$B$24+MIN(MAX(MAX(H916,0)-'Tax Tables'!$B$23,0),'Tax Tables'!$B$25)*'Tax Tables'!$B$26))*Calculator!$B$11,Calculator!$B$12)</f>
        <v>0</v>
      </c>
      <c r="J916" s="11" t="n">
        <f aca="false">MAX(H916,0)-I916</f>
        <v>0</v>
      </c>
      <c r="K916" s="11" t="n">
        <f aca="false">MIN(IF(A916&gt;0,Calculator!$B$13,0)+E916+Calculator!$B$14,'Tax Tables'!$B$36)</f>
        <v>1000</v>
      </c>
      <c r="L916" s="11" t="n">
        <f aca="false">MAX(A916-K916,0)</f>
        <v>450500</v>
      </c>
      <c r="M916" s="11" t="n">
        <f aca="false">SUMPRODUCT((L916&gt;'Tax Tables'!$A$5:$A$17)*(L916-'Tax Tables'!$A$5:$A$17)*'Tax Tables'!$C$5:$C$17)</f>
        <v>73260</v>
      </c>
      <c r="N916" s="11" t="n">
        <f aca="false">IF(H916&lt;0,-1E+099,A916-E916-M916+J916+(E916+F916)*Calculator!$B$9)</f>
        <v>-1E+099</v>
      </c>
      <c r="O916" s="2"/>
      <c r="P916" s="11" t="n">
        <f aca="false">903*$B$3</f>
        <v>451500</v>
      </c>
      <c r="Q916" s="11" t="n">
        <f aca="false">MIN(P916,'Tax Tables'!$B$31*'Tax Tables'!$B$32)</f>
        <v>96000</v>
      </c>
      <c r="R916" s="11" t="n">
        <f aca="false">P916-Q916</f>
        <v>355500</v>
      </c>
      <c r="S916" s="11" t="n">
        <f aca="false">IF(Calculator!$B$6="Yes",MIN(Q916,'Tax Tables'!$B$31*'Tax Tables'!$B$32),0)</f>
        <v>96000</v>
      </c>
      <c r="T916" s="11" t="n">
        <f aca="false">S916*Calculator!$B$7</f>
        <v>19200</v>
      </c>
      <c r="U916" s="11" t="n">
        <f aca="false">S916*Calculator!$B$8</f>
        <v>16320</v>
      </c>
      <c r="V916" s="11" t="n">
        <f aca="false">IF(Q916&gt;0,'Tax Tables'!$B$32*MIN(MAX(Q916/'Tax Tables'!$B$32*'Tax Tables'!$B$33,'Tax Tables'!$B$34),'Tax Tables'!$B$35),0)</f>
        <v>135</v>
      </c>
      <c r="W916" s="11" t="n">
        <f aca="false">Calculator!$B$5-P916-U916-V916</f>
        <v>-67955</v>
      </c>
      <c r="X916" s="11" t="n">
        <f aca="false">'Tax Tables'!$B$22*(MAX(W916,0)-IF(Calculator!$B$10="Yes",MIN(MAX(W916,0),'Tax Tables'!$B$27)*'Tax Tables'!$B$28+MIN(MAX(MAX(W916,0)-'Tax Tables'!$B$27,0),'Tax Tables'!$B$29)*'Tax Tables'!$B$30,MIN(MAX(W916,0),'Tax Tables'!$B$23)*'Tax Tables'!$B$24+MIN(MAX(MAX(W916,0)-'Tax Tables'!$B$23,0),'Tax Tables'!$B$25)*'Tax Tables'!$B$26))*1-MIN('Tax Tables'!$B$22*(MAX(W916,0)-IF(Calculator!$B$10="Yes",MIN(MAX(W916,0),'Tax Tables'!$B$27)*'Tax Tables'!$B$28+MIN(MAX(MAX(W916,0)-'Tax Tables'!$B$27,0),'Tax Tables'!$B$29)*'Tax Tables'!$B$30,MIN(MAX(W916,0),'Tax Tables'!$B$23)*'Tax Tables'!$B$24+MIN(MAX(MAX(W916,0)-'Tax Tables'!$B$23,0),'Tax Tables'!$B$25)*'Tax Tables'!$B$26))*Calculator!$B$11,Calculator!$B$12)</f>
        <v>0</v>
      </c>
      <c r="Y916" s="11" t="n">
        <f aca="false">MAX(W916,0)-X916</f>
        <v>0</v>
      </c>
      <c r="Z916" s="11" t="n">
        <f aca="false">MIN(IF(P916&gt;0,Calculator!$B$13,0)+T916+Calculator!$B$14,'Tax Tables'!$B$36)</f>
        <v>20200</v>
      </c>
      <c r="AA916" s="11" t="n">
        <f aca="false">MAX(P916-Z916,0)</f>
        <v>431300</v>
      </c>
      <c r="AB916" s="11" t="n">
        <f aca="false">SUMPRODUCT((AA916&gt;'Tax Tables'!$A$5:$A$17)*(AA916-'Tax Tables'!$A$5:$A$17)*'Tax Tables'!$C$5:$C$17)</f>
        <v>69036</v>
      </c>
      <c r="AC916" s="11" t="n">
        <f aca="false">IF(W916&lt;0,-1E+099,P916-T916-AB916+Y916+(T916+U916)*Calculator!$B$9)</f>
        <v>-1E+099</v>
      </c>
    </row>
    <row r="917" customFormat="false" ht="15" hidden="false" customHeight="false" outlineLevel="0" collapsed="false">
      <c r="A917" s="11" t="n">
        <f aca="false">904*$B$3</f>
        <v>452000</v>
      </c>
      <c r="B917" s="11" t="n">
        <f aca="false">0</f>
        <v>0</v>
      </c>
      <c r="C917" s="11" t="n">
        <f aca="false">A917-B917</f>
        <v>452000</v>
      </c>
      <c r="D917" s="11" t="n">
        <f aca="false">IF(Calculator!$B$6="Yes",MIN(B917,'Tax Tables'!$B$31*'Tax Tables'!$B$32),0)</f>
        <v>0</v>
      </c>
      <c r="E917" s="11" t="n">
        <f aca="false">D917*Calculator!$B$7</f>
        <v>0</v>
      </c>
      <c r="F917" s="11" t="n">
        <f aca="false">D917*Calculator!$B$8</f>
        <v>0</v>
      </c>
      <c r="G917" s="11" t="n">
        <f aca="false">IF(B917&gt;0,'Tax Tables'!$B$32*MIN(MAX(B917/'Tax Tables'!$B$32*'Tax Tables'!$B$33,'Tax Tables'!$B$34),'Tax Tables'!$B$35),0)</f>
        <v>0</v>
      </c>
      <c r="H917" s="11" t="n">
        <f aca="false">Calculator!$B$5-A917-F917-G917</f>
        <v>-52000</v>
      </c>
      <c r="I917" s="11" t="n">
        <f aca="false">'Tax Tables'!$B$22*(MAX(H917,0)-IF(Calculator!$B$10="Yes",MIN(MAX(H917,0),'Tax Tables'!$B$27)*'Tax Tables'!$B$28+MIN(MAX(MAX(H917,0)-'Tax Tables'!$B$27,0),'Tax Tables'!$B$29)*'Tax Tables'!$B$30,MIN(MAX(H917,0),'Tax Tables'!$B$23)*'Tax Tables'!$B$24+MIN(MAX(MAX(H917,0)-'Tax Tables'!$B$23,0),'Tax Tables'!$B$25)*'Tax Tables'!$B$26))*1-MIN('Tax Tables'!$B$22*(MAX(H917,0)-IF(Calculator!$B$10="Yes",MIN(MAX(H917,0),'Tax Tables'!$B$27)*'Tax Tables'!$B$28+MIN(MAX(MAX(H917,0)-'Tax Tables'!$B$27,0),'Tax Tables'!$B$29)*'Tax Tables'!$B$30,MIN(MAX(H917,0),'Tax Tables'!$B$23)*'Tax Tables'!$B$24+MIN(MAX(MAX(H917,0)-'Tax Tables'!$B$23,0),'Tax Tables'!$B$25)*'Tax Tables'!$B$26))*Calculator!$B$11,Calculator!$B$12)</f>
        <v>0</v>
      </c>
      <c r="J917" s="11" t="n">
        <f aca="false">MAX(H917,0)-I917</f>
        <v>0</v>
      </c>
      <c r="K917" s="11" t="n">
        <f aca="false">MIN(IF(A917&gt;0,Calculator!$B$13,0)+E917+Calculator!$B$14,'Tax Tables'!$B$36)</f>
        <v>1000</v>
      </c>
      <c r="L917" s="11" t="n">
        <f aca="false">MAX(A917-K917,0)</f>
        <v>451000</v>
      </c>
      <c r="M917" s="11" t="n">
        <f aca="false">SUMPRODUCT((L917&gt;'Tax Tables'!$A$5:$A$17)*(L917-'Tax Tables'!$A$5:$A$17)*'Tax Tables'!$C$5:$C$17)</f>
        <v>73370</v>
      </c>
      <c r="N917" s="11" t="n">
        <f aca="false">IF(H917&lt;0,-1E+099,A917-E917-M917+J917+(E917+F917)*Calculator!$B$9)</f>
        <v>-1E+099</v>
      </c>
      <c r="O917" s="2"/>
      <c r="P917" s="11" t="n">
        <f aca="false">904*$B$3</f>
        <v>452000</v>
      </c>
      <c r="Q917" s="11" t="n">
        <f aca="false">MIN(P917,'Tax Tables'!$B$31*'Tax Tables'!$B$32)</f>
        <v>96000</v>
      </c>
      <c r="R917" s="11" t="n">
        <f aca="false">P917-Q917</f>
        <v>356000</v>
      </c>
      <c r="S917" s="11" t="n">
        <f aca="false">IF(Calculator!$B$6="Yes",MIN(Q917,'Tax Tables'!$B$31*'Tax Tables'!$B$32),0)</f>
        <v>96000</v>
      </c>
      <c r="T917" s="11" t="n">
        <f aca="false">S917*Calculator!$B$7</f>
        <v>19200</v>
      </c>
      <c r="U917" s="11" t="n">
        <f aca="false">S917*Calculator!$B$8</f>
        <v>16320</v>
      </c>
      <c r="V917" s="11" t="n">
        <f aca="false">IF(Q917&gt;0,'Tax Tables'!$B$32*MIN(MAX(Q917/'Tax Tables'!$B$32*'Tax Tables'!$B$33,'Tax Tables'!$B$34),'Tax Tables'!$B$35),0)</f>
        <v>135</v>
      </c>
      <c r="W917" s="11" t="n">
        <f aca="false">Calculator!$B$5-P917-U917-V917</f>
        <v>-68455</v>
      </c>
      <c r="X917" s="11" t="n">
        <f aca="false">'Tax Tables'!$B$22*(MAX(W917,0)-IF(Calculator!$B$10="Yes",MIN(MAX(W917,0),'Tax Tables'!$B$27)*'Tax Tables'!$B$28+MIN(MAX(MAX(W917,0)-'Tax Tables'!$B$27,0),'Tax Tables'!$B$29)*'Tax Tables'!$B$30,MIN(MAX(W917,0),'Tax Tables'!$B$23)*'Tax Tables'!$B$24+MIN(MAX(MAX(W917,0)-'Tax Tables'!$B$23,0),'Tax Tables'!$B$25)*'Tax Tables'!$B$26))*1-MIN('Tax Tables'!$B$22*(MAX(W917,0)-IF(Calculator!$B$10="Yes",MIN(MAX(W917,0),'Tax Tables'!$B$27)*'Tax Tables'!$B$28+MIN(MAX(MAX(W917,0)-'Tax Tables'!$B$27,0),'Tax Tables'!$B$29)*'Tax Tables'!$B$30,MIN(MAX(W917,0),'Tax Tables'!$B$23)*'Tax Tables'!$B$24+MIN(MAX(MAX(W917,0)-'Tax Tables'!$B$23,0),'Tax Tables'!$B$25)*'Tax Tables'!$B$26))*Calculator!$B$11,Calculator!$B$12)</f>
        <v>0</v>
      </c>
      <c r="Y917" s="11" t="n">
        <f aca="false">MAX(W917,0)-X917</f>
        <v>0</v>
      </c>
      <c r="Z917" s="11" t="n">
        <f aca="false">MIN(IF(P917&gt;0,Calculator!$B$13,0)+T917+Calculator!$B$14,'Tax Tables'!$B$36)</f>
        <v>20200</v>
      </c>
      <c r="AA917" s="11" t="n">
        <f aca="false">MAX(P917-Z917,0)</f>
        <v>431800</v>
      </c>
      <c r="AB917" s="11" t="n">
        <f aca="false">SUMPRODUCT((AA917&gt;'Tax Tables'!$A$5:$A$17)*(AA917-'Tax Tables'!$A$5:$A$17)*'Tax Tables'!$C$5:$C$17)</f>
        <v>69146</v>
      </c>
      <c r="AC917" s="11" t="n">
        <f aca="false">IF(W917&lt;0,-1E+099,P917-T917-AB917+Y917+(T917+U917)*Calculator!$B$9)</f>
        <v>-1E+099</v>
      </c>
    </row>
    <row r="918" customFormat="false" ht="15" hidden="false" customHeight="false" outlineLevel="0" collapsed="false">
      <c r="A918" s="11" t="n">
        <f aca="false">905*$B$3</f>
        <v>452500</v>
      </c>
      <c r="B918" s="11" t="n">
        <f aca="false">0</f>
        <v>0</v>
      </c>
      <c r="C918" s="11" t="n">
        <f aca="false">A918-B918</f>
        <v>452500</v>
      </c>
      <c r="D918" s="11" t="n">
        <f aca="false">IF(Calculator!$B$6="Yes",MIN(B918,'Tax Tables'!$B$31*'Tax Tables'!$B$32),0)</f>
        <v>0</v>
      </c>
      <c r="E918" s="11" t="n">
        <f aca="false">D918*Calculator!$B$7</f>
        <v>0</v>
      </c>
      <c r="F918" s="11" t="n">
        <f aca="false">D918*Calculator!$B$8</f>
        <v>0</v>
      </c>
      <c r="G918" s="11" t="n">
        <f aca="false">IF(B918&gt;0,'Tax Tables'!$B$32*MIN(MAX(B918/'Tax Tables'!$B$32*'Tax Tables'!$B$33,'Tax Tables'!$B$34),'Tax Tables'!$B$35),0)</f>
        <v>0</v>
      </c>
      <c r="H918" s="11" t="n">
        <f aca="false">Calculator!$B$5-A918-F918-G918</f>
        <v>-52500</v>
      </c>
      <c r="I918" s="11" t="n">
        <f aca="false">'Tax Tables'!$B$22*(MAX(H918,0)-IF(Calculator!$B$10="Yes",MIN(MAX(H918,0),'Tax Tables'!$B$27)*'Tax Tables'!$B$28+MIN(MAX(MAX(H918,0)-'Tax Tables'!$B$27,0),'Tax Tables'!$B$29)*'Tax Tables'!$B$30,MIN(MAX(H918,0),'Tax Tables'!$B$23)*'Tax Tables'!$B$24+MIN(MAX(MAX(H918,0)-'Tax Tables'!$B$23,0),'Tax Tables'!$B$25)*'Tax Tables'!$B$26))*1-MIN('Tax Tables'!$B$22*(MAX(H918,0)-IF(Calculator!$B$10="Yes",MIN(MAX(H918,0),'Tax Tables'!$B$27)*'Tax Tables'!$B$28+MIN(MAX(MAX(H918,0)-'Tax Tables'!$B$27,0),'Tax Tables'!$B$29)*'Tax Tables'!$B$30,MIN(MAX(H918,0),'Tax Tables'!$B$23)*'Tax Tables'!$B$24+MIN(MAX(MAX(H918,0)-'Tax Tables'!$B$23,0),'Tax Tables'!$B$25)*'Tax Tables'!$B$26))*Calculator!$B$11,Calculator!$B$12)</f>
        <v>0</v>
      </c>
      <c r="J918" s="11" t="n">
        <f aca="false">MAX(H918,0)-I918</f>
        <v>0</v>
      </c>
      <c r="K918" s="11" t="n">
        <f aca="false">MIN(IF(A918&gt;0,Calculator!$B$13,0)+E918+Calculator!$B$14,'Tax Tables'!$B$36)</f>
        <v>1000</v>
      </c>
      <c r="L918" s="11" t="n">
        <f aca="false">MAX(A918-K918,0)</f>
        <v>451500</v>
      </c>
      <c r="M918" s="11" t="n">
        <f aca="false">SUMPRODUCT((L918&gt;'Tax Tables'!$A$5:$A$17)*(L918-'Tax Tables'!$A$5:$A$17)*'Tax Tables'!$C$5:$C$17)</f>
        <v>73480</v>
      </c>
      <c r="N918" s="11" t="n">
        <f aca="false">IF(H918&lt;0,-1E+099,A918-E918-M918+J918+(E918+F918)*Calculator!$B$9)</f>
        <v>-1E+099</v>
      </c>
      <c r="O918" s="2"/>
      <c r="P918" s="11" t="n">
        <f aca="false">905*$B$3</f>
        <v>452500</v>
      </c>
      <c r="Q918" s="11" t="n">
        <f aca="false">MIN(P918,'Tax Tables'!$B$31*'Tax Tables'!$B$32)</f>
        <v>96000</v>
      </c>
      <c r="R918" s="11" t="n">
        <f aca="false">P918-Q918</f>
        <v>356500</v>
      </c>
      <c r="S918" s="11" t="n">
        <f aca="false">IF(Calculator!$B$6="Yes",MIN(Q918,'Tax Tables'!$B$31*'Tax Tables'!$B$32),0)</f>
        <v>96000</v>
      </c>
      <c r="T918" s="11" t="n">
        <f aca="false">S918*Calculator!$B$7</f>
        <v>19200</v>
      </c>
      <c r="U918" s="11" t="n">
        <f aca="false">S918*Calculator!$B$8</f>
        <v>16320</v>
      </c>
      <c r="V918" s="11" t="n">
        <f aca="false">IF(Q918&gt;0,'Tax Tables'!$B$32*MIN(MAX(Q918/'Tax Tables'!$B$32*'Tax Tables'!$B$33,'Tax Tables'!$B$34),'Tax Tables'!$B$35),0)</f>
        <v>135</v>
      </c>
      <c r="W918" s="11" t="n">
        <f aca="false">Calculator!$B$5-P918-U918-V918</f>
        <v>-68955</v>
      </c>
      <c r="X918" s="11" t="n">
        <f aca="false">'Tax Tables'!$B$22*(MAX(W918,0)-IF(Calculator!$B$10="Yes",MIN(MAX(W918,0),'Tax Tables'!$B$27)*'Tax Tables'!$B$28+MIN(MAX(MAX(W918,0)-'Tax Tables'!$B$27,0),'Tax Tables'!$B$29)*'Tax Tables'!$B$30,MIN(MAX(W918,0),'Tax Tables'!$B$23)*'Tax Tables'!$B$24+MIN(MAX(MAX(W918,0)-'Tax Tables'!$B$23,0),'Tax Tables'!$B$25)*'Tax Tables'!$B$26))*1-MIN('Tax Tables'!$B$22*(MAX(W918,0)-IF(Calculator!$B$10="Yes",MIN(MAX(W918,0),'Tax Tables'!$B$27)*'Tax Tables'!$B$28+MIN(MAX(MAX(W918,0)-'Tax Tables'!$B$27,0),'Tax Tables'!$B$29)*'Tax Tables'!$B$30,MIN(MAX(W918,0),'Tax Tables'!$B$23)*'Tax Tables'!$B$24+MIN(MAX(MAX(W918,0)-'Tax Tables'!$B$23,0),'Tax Tables'!$B$25)*'Tax Tables'!$B$26))*Calculator!$B$11,Calculator!$B$12)</f>
        <v>0</v>
      </c>
      <c r="Y918" s="11" t="n">
        <f aca="false">MAX(W918,0)-X918</f>
        <v>0</v>
      </c>
      <c r="Z918" s="11" t="n">
        <f aca="false">MIN(IF(P918&gt;0,Calculator!$B$13,0)+T918+Calculator!$B$14,'Tax Tables'!$B$36)</f>
        <v>20200</v>
      </c>
      <c r="AA918" s="11" t="n">
        <f aca="false">MAX(P918-Z918,0)</f>
        <v>432300</v>
      </c>
      <c r="AB918" s="11" t="n">
        <f aca="false">SUMPRODUCT((AA918&gt;'Tax Tables'!$A$5:$A$17)*(AA918-'Tax Tables'!$A$5:$A$17)*'Tax Tables'!$C$5:$C$17)</f>
        <v>69256</v>
      </c>
      <c r="AC918" s="11" t="n">
        <f aca="false">IF(W918&lt;0,-1E+099,P918-T918-AB918+Y918+(T918+U918)*Calculator!$B$9)</f>
        <v>-1E+099</v>
      </c>
    </row>
    <row r="919" customFormat="false" ht="15" hidden="false" customHeight="false" outlineLevel="0" collapsed="false">
      <c r="A919" s="11" t="n">
        <f aca="false">906*$B$3</f>
        <v>453000</v>
      </c>
      <c r="B919" s="11" t="n">
        <f aca="false">0</f>
        <v>0</v>
      </c>
      <c r="C919" s="11" t="n">
        <f aca="false">A919-B919</f>
        <v>453000</v>
      </c>
      <c r="D919" s="11" t="n">
        <f aca="false">IF(Calculator!$B$6="Yes",MIN(B919,'Tax Tables'!$B$31*'Tax Tables'!$B$32),0)</f>
        <v>0</v>
      </c>
      <c r="E919" s="11" t="n">
        <f aca="false">D919*Calculator!$B$7</f>
        <v>0</v>
      </c>
      <c r="F919" s="11" t="n">
        <f aca="false">D919*Calculator!$B$8</f>
        <v>0</v>
      </c>
      <c r="G919" s="11" t="n">
        <f aca="false">IF(B919&gt;0,'Tax Tables'!$B$32*MIN(MAX(B919/'Tax Tables'!$B$32*'Tax Tables'!$B$33,'Tax Tables'!$B$34),'Tax Tables'!$B$35),0)</f>
        <v>0</v>
      </c>
      <c r="H919" s="11" t="n">
        <f aca="false">Calculator!$B$5-A919-F919-G919</f>
        <v>-53000</v>
      </c>
      <c r="I919" s="11" t="n">
        <f aca="false">'Tax Tables'!$B$22*(MAX(H919,0)-IF(Calculator!$B$10="Yes",MIN(MAX(H919,0),'Tax Tables'!$B$27)*'Tax Tables'!$B$28+MIN(MAX(MAX(H919,0)-'Tax Tables'!$B$27,0),'Tax Tables'!$B$29)*'Tax Tables'!$B$30,MIN(MAX(H919,0),'Tax Tables'!$B$23)*'Tax Tables'!$B$24+MIN(MAX(MAX(H919,0)-'Tax Tables'!$B$23,0),'Tax Tables'!$B$25)*'Tax Tables'!$B$26))*1-MIN('Tax Tables'!$B$22*(MAX(H919,0)-IF(Calculator!$B$10="Yes",MIN(MAX(H919,0),'Tax Tables'!$B$27)*'Tax Tables'!$B$28+MIN(MAX(MAX(H919,0)-'Tax Tables'!$B$27,0),'Tax Tables'!$B$29)*'Tax Tables'!$B$30,MIN(MAX(H919,0),'Tax Tables'!$B$23)*'Tax Tables'!$B$24+MIN(MAX(MAX(H919,0)-'Tax Tables'!$B$23,0),'Tax Tables'!$B$25)*'Tax Tables'!$B$26))*Calculator!$B$11,Calculator!$B$12)</f>
        <v>0</v>
      </c>
      <c r="J919" s="11" t="n">
        <f aca="false">MAX(H919,0)-I919</f>
        <v>0</v>
      </c>
      <c r="K919" s="11" t="n">
        <f aca="false">MIN(IF(A919&gt;0,Calculator!$B$13,0)+E919+Calculator!$B$14,'Tax Tables'!$B$36)</f>
        <v>1000</v>
      </c>
      <c r="L919" s="11" t="n">
        <f aca="false">MAX(A919-K919,0)</f>
        <v>452000</v>
      </c>
      <c r="M919" s="11" t="n">
        <f aca="false">SUMPRODUCT((L919&gt;'Tax Tables'!$A$5:$A$17)*(L919-'Tax Tables'!$A$5:$A$17)*'Tax Tables'!$C$5:$C$17)</f>
        <v>73590</v>
      </c>
      <c r="N919" s="11" t="n">
        <f aca="false">IF(H919&lt;0,-1E+099,A919-E919-M919+J919+(E919+F919)*Calculator!$B$9)</f>
        <v>-1E+099</v>
      </c>
      <c r="O919" s="2"/>
      <c r="P919" s="11" t="n">
        <f aca="false">906*$B$3</f>
        <v>453000</v>
      </c>
      <c r="Q919" s="11" t="n">
        <f aca="false">MIN(P919,'Tax Tables'!$B$31*'Tax Tables'!$B$32)</f>
        <v>96000</v>
      </c>
      <c r="R919" s="11" t="n">
        <f aca="false">P919-Q919</f>
        <v>357000</v>
      </c>
      <c r="S919" s="11" t="n">
        <f aca="false">IF(Calculator!$B$6="Yes",MIN(Q919,'Tax Tables'!$B$31*'Tax Tables'!$B$32),0)</f>
        <v>96000</v>
      </c>
      <c r="T919" s="11" t="n">
        <f aca="false">S919*Calculator!$B$7</f>
        <v>19200</v>
      </c>
      <c r="U919" s="11" t="n">
        <f aca="false">S919*Calculator!$B$8</f>
        <v>16320</v>
      </c>
      <c r="V919" s="11" t="n">
        <f aca="false">IF(Q919&gt;0,'Tax Tables'!$B$32*MIN(MAX(Q919/'Tax Tables'!$B$32*'Tax Tables'!$B$33,'Tax Tables'!$B$34),'Tax Tables'!$B$35),0)</f>
        <v>135</v>
      </c>
      <c r="W919" s="11" t="n">
        <f aca="false">Calculator!$B$5-P919-U919-V919</f>
        <v>-69455</v>
      </c>
      <c r="X919" s="11" t="n">
        <f aca="false">'Tax Tables'!$B$22*(MAX(W919,0)-IF(Calculator!$B$10="Yes",MIN(MAX(W919,0),'Tax Tables'!$B$27)*'Tax Tables'!$B$28+MIN(MAX(MAX(W919,0)-'Tax Tables'!$B$27,0),'Tax Tables'!$B$29)*'Tax Tables'!$B$30,MIN(MAX(W919,0),'Tax Tables'!$B$23)*'Tax Tables'!$B$24+MIN(MAX(MAX(W919,0)-'Tax Tables'!$B$23,0),'Tax Tables'!$B$25)*'Tax Tables'!$B$26))*1-MIN('Tax Tables'!$B$22*(MAX(W919,0)-IF(Calculator!$B$10="Yes",MIN(MAX(W919,0),'Tax Tables'!$B$27)*'Tax Tables'!$B$28+MIN(MAX(MAX(W919,0)-'Tax Tables'!$B$27,0),'Tax Tables'!$B$29)*'Tax Tables'!$B$30,MIN(MAX(W919,0),'Tax Tables'!$B$23)*'Tax Tables'!$B$24+MIN(MAX(MAX(W919,0)-'Tax Tables'!$B$23,0),'Tax Tables'!$B$25)*'Tax Tables'!$B$26))*Calculator!$B$11,Calculator!$B$12)</f>
        <v>0</v>
      </c>
      <c r="Y919" s="11" t="n">
        <f aca="false">MAX(W919,0)-X919</f>
        <v>0</v>
      </c>
      <c r="Z919" s="11" t="n">
        <f aca="false">MIN(IF(P919&gt;0,Calculator!$B$13,0)+T919+Calculator!$B$14,'Tax Tables'!$B$36)</f>
        <v>20200</v>
      </c>
      <c r="AA919" s="11" t="n">
        <f aca="false">MAX(P919-Z919,0)</f>
        <v>432800</v>
      </c>
      <c r="AB919" s="11" t="n">
        <f aca="false">SUMPRODUCT((AA919&gt;'Tax Tables'!$A$5:$A$17)*(AA919-'Tax Tables'!$A$5:$A$17)*'Tax Tables'!$C$5:$C$17)</f>
        <v>69366</v>
      </c>
      <c r="AC919" s="11" t="n">
        <f aca="false">IF(W919&lt;0,-1E+099,P919-T919-AB919+Y919+(T919+U919)*Calculator!$B$9)</f>
        <v>-1E+099</v>
      </c>
    </row>
    <row r="920" customFormat="false" ht="15" hidden="false" customHeight="false" outlineLevel="0" collapsed="false">
      <c r="A920" s="11" t="n">
        <f aca="false">907*$B$3</f>
        <v>453500</v>
      </c>
      <c r="B920" s="11" t="n">
        <f aca="false">0</f>
        <v>0</v>
      </c>
      <c r="C920" s="11" t="n">
        <f aca="false">A920-B920</f>
        <v>453500</v>
      </c>
      <c r="D920" s="11" t="n">
        <f aca="false">IF(Calculator!$B$6="Yes",MIN(B920,'Tax Tables'!$B$31*'Tax Tables'!$B$32),0)</f>
        <v>0</v>
      </c>
      <c r="E920" s="11" t="n">
        <f aca="false">D920*Calculator!$B$7</f>
        <v>0</v>
      </c>
      <c r="F920" s="11" t="n">
        <f aca="false">D920*Calculator!$B$8</f>
        <v>0</v>
      </c>
      <c r="G920" s="11" t="n">
        <f aca="false">IF(B920&gt;0,'Tax Tables'!$B$32*MIN(MAX(B920/'Tax Tables'!$B$32*'Tax Tables'!$B$33,'Tax Tables'!$B$34),'Tax Tables'!$B$35),0)</f>
        <v>0</v>
      </c>
      <c r="H920" s="11" t="n">
        <f aca="false">Calculator!$B$5-A920-F920-G920</f>
        <v>-53500</v>
      </c>
      <c r="I920" s="11" t="n">
        <f aca="false">'Tax Tables'!$B$22*(MAX(H920,0)-IF(Calculator!$B$10="Yes",MIN(MAX(H920,0),'Tax Tables'!$B$27)*'Tax Tables'!$B$28+MIN(MAX(MAX(H920,0)-'Tax Tables'!$B$27,0),'Tax Tables'!$B$29)*'Tax Tables'!$B$30,MIN(MAX(H920,0),'Tax Tables'!$B$23)*'Tax Tables'!$B$24+MIN(MAX(MAX(H920,0)-'Tax Tables'!$B$23,0),'Tax Tables'!$B$25)*'Tax Tables'!$B$26))*1-MIN('Tax Tables'!$B$22*(MAX(H920,0)-IF(Calculator!$B$10="Yes",MIN(MAX(H920,0),'Tax Tables'!$B$27)*'Tax Tables'!$B$28+MIN(MAX(MAX(H920,0)-'Tax Tables'!$B$27,0),'Tax Tables'!$B$29)*'Tax Tables'!$B$30,MIN(MAX(H920,0),'Tax Tables'!$B$23)*'Tax Tables'!$B$24+MIN(MAX(MAX(H920,0)-'Tax Tables'!$B$23,0),'Tax Tables'!$B$25)*'Tax Tables'!$B$26))*Calculator!$B$11,Calculator!$B$12)</f>
        <v>0</v>
      </c>
      <c r="J920" s="11" t="n">
        <f aca="false">MAX(H920,0)-I920</f>
        <v>0</v>
      </c>
      <c r="K920" s="11" t="n">
        <f aca="false">MIN(IF(A920&gt;0,Calculator!$B$13,0)+E920+Calculator!$B$14,'Tax Tables'!$B$36)</f>
        <v>1000</v>
      </c>
      <c r="L920" s="11" t="n">
        <f aca="false">MAX(A920-K920,0)</f>
        <v>452500</v>
      </c>
      <c r="M920" s="11" t="n">
        <f aca="false">SUMPRODUCT((L920&gt;'Tax Tables'!$A$5:$A$17)*(L920-'Tax Tables'!$A$5:$A$17)*'Tax Tables'!$C$5:$C$17)</f>
        <v>73700</v>
      </c>
      <c r="N920" s="11" t="n">
        <f aca="false">IF(H920&lt;0,-1E+099,A920-E920-M920+J920+(E920+F920)*Calculator!$B$9)</f>
        <v>-1E+099</v>
      </c>
      <c r="O920" s="2"/>
      <c r="P920" s="11" t="n">
        <f aca="false">907*$B$3</f>
        <v>453500</v>
      </c>
      <c r="Q920" s="11" t="n">
        <f aca="false">MIN(P920,'Tax Tables'!$B$31*'Tax Tables'!$B$32)</f>
        <v>96000</v>
      </c>
      <c r="R920" s="11" t="n">
        <f aca="false">P920-Q920</f>
        <v>357500</v>
      </c>
      <c r="S920" s="11" t="n">
        <f aca="false">IF(Calculator!$B$6="Yes",MIN(Q920,'Tax Tables'!$B$31*'Tax Tables'!$B$32),0)</f>
        <v>96000</v>
      </c>
      <c r="T920" s="11" t="n">
        <f aca="false">S920*Calculator!$B$7</f>
        <v>19200</v>
      </c>
      <c r="U920" s="11" t="n">
        <f aca="false">S920*Calculator!$B$8</f>
        <v>16320</v>
      </c>
      <c r="V920" s="11" t="n">
        <f aca="false">IF(Q920&gt;0,'Tax Tables'!$B$32*MIN(MAX(Q920/'Tax Tables'!$B$32*'Tax Tables'!$B$33,'Tax Tables'!$B$34),'Tax Tables'!$B$35),0)</f>
        <v>135</v>
      </c>
      <c r="W920" s="11" t="n">
        <f aca="false">Calculator!$B$5-P920-U920-V920</f>
        <v>-69955</v>
      </c>
      <c r="X920" s="11" t="n">
        <f aca="false">'Tax Tables'!$B$22*(MAX(W920,0)-IF(Calculator!$B$10="Yes",MIN(MAX(W920,0),'Tax Tables'!$B$27)*'Tax Tables'!$B$28+MIN(MAX(MAX(W920,0)-'Tax Tables'!$B$27,0),'Tax Tables'!$B$29)*'Tax Tables'!$B$30,MIN(MAX(W920,0),'Tax Tables'!$B$23)*'Tax Tables'!$B$24+MIN(MAX(MAX(W920,0)-'Tax Tables'!$B$23,0),'Tax Tables'!$B$25)*'Tax Tables'!$B$26))*1-MIN('Tax Tables'!$B$22*(MAX(W920,0)-IF(Calculator!$B$10="Yes",MIN(MAX(W920,0),'Tax Tables'!$B$27)*'Tax Tables'!$B$28+MIN(MAX(MAX(W920,0)-'Tax Tables'!$B$27,0),'Tax Tables'!$B$29)*'Tax Tables'!$B$30,MIN(MAX(W920,0),'Tax Tables'!$B$23)*'Tax Tables'!$B$24+MIN(MAX(MAX(W920,0)-'Tax Tables'!$B$23,0),'Tax Tables'!$B$25)*'Tax Tables'!$B$26))*Calculator!$B$11,Calculator!$B$12)</f>
        <v>0</v>
      </c>
      <c r="Y920" s="11" t="n">
        <f aca="false">MAX(W920,0)-X920</f>
        <v>0</v>
      </c>
      <c r="Z920" s="11" t="n">
        <f aca="false">MIN(IF(P920&gt;0,Calculator!$B$13,0)+T920+Calculator!$B$14,'Tax Tables'!$B$36)</f>
        <v>20200</v>
      </c>
      <c r="AA920" s="11" t="n">
        <f aca="false">MAX(P920-Z920,0)</f>
        <v>433300</v>
      </c>
      <c r="AB920" s="11" t="n">
        <f aca="false">SUMPRODUCT((AA920&gt;'Tax Tables'!$A$5:$A$17)*(AA920-'Tax Tables'!$A$5:$A$17)*'Tax Tables'!$C$5:$C$17)</f>
        <v>69476</v>
      </c>
      <c r="AC920" s="11" t="n">
        <f aca="false">IF(W920&lt;0,-1E+099,P920-T920-AB920+Y920+(T920+U920)*Calculator!$B$9)</f>
        <v>-1E+099</v>
      </c>
    </row>
    <row r="921" customFormat="false" ht="15" hidden="false" customHeight="false" outlineLevel="0" collapsed="false">
      <c r="A921" s="11" t="n">
        <f aca="false">908*$B$3</f>
        <v>454000</v>
      </c>
      <c r="B921" s="11" t="n">
        <f aca="false">0</f>
        <v>0</v>
      </c>
      <c r="C921" s="11" t="n">
        <f aca="false">A921-B921</f>
        <v>454000</v>
      </c>
      <c r="D921" s="11" t="n">
        <f aca="false">IF(Calculator!$B$6="Yes",MIN(B921,'Tax Tables'!$B$31*'Tax Tables'!$B$32),0)</f>
        <v>0</v>
      </c>
      <c r="E921" s="11" t="n">
        <f aca="false">D921*Calculator!$B$7</f>
        <v>0</v>
      </c>
      <c r="F921" s="11" t="n">
        <f aca="false">D921*Calculator!$B$8</f>
        <v>0</v>
      </c>
      <c r="G921" s="11" t="n">
        <f aca="false">IF(B921&gt;0,'Tax Tables'!$B$32*MIN(MAX(B921/'Tax Tables'!$B$32*'Tax Tables'!$B$33,'Tax Tables'!$B$34),'Tax Tables'!$B$35),0)</f>
        <v>0</v>
      </c>
      <c r="H921" s="11" t="n">
        <f aca="false">Calculator!$B$5-A921-F921-G921</f>
        <v>-54000</v>
      </c>
      <c r="I921" s="11" t="n">
        <f aca="false">'Tax Tables'!$B$22*(MAX(H921,0)-IF(Calculator!$B$10="Yes",MIN(MAX(H921,0),'Tax Tables'!$B$27)*'Tax Tables'!$B$28+MIN(MAX(MAX(H921,0)-'Tax Tables'!$B$27,0),'Tax Tables'!$B$29)*'Tax Tables'!$B$30,MIN(MAX(H921,0),'Tax Tables'!$B$23)*'Tax Tables'!$B$24+MIN(MAX(MAX(H921,0)-'Tax Tables'!$B$23,0),'Tax Tables'!$B$25)*'Tax Tables'!$B$26))*1-MIN('Tax Tables'!$B$22*(MAX(H921,0)-IF(Calculator!$B$10="Yes",MIN(MAX(H921,0),'Tax Tables'!$B$27)*'Tax Tables'!$B$28+MIN(MAX(MAX(H921,0)-'Tax Tables'!$B$27,0),'Tax Tables'!$B$29)*'Tax Tables'!$B$30,MIN(MAX(H921,0),'Tax Tables'!$B$23)*'Tax Tables'!$B$24+MIN(MAX(MAX(H921,0)-'Tax Tables'!$B$23,0),'Tax Tables'!$B$25)*'Tax Tables'!$B$26))*Calculator!$B$11,Calculator!$B$12)</f>
        <v>0</v>
      </c>
      <c r="J921" s="11" t="n">
        <f aca="false">MAX(H921,0)-I921</f>
        <v>0</v>
      </c>
      <c r="K921" s="11" t="n">
        <f aca="false">MIN(IF(A921&gt;0,Calculator!$B$13,0)+E921+Calculator!$B$14,'Tax Tables'!$B$36)</f>
        <v>1000</v>
      </c>
      <c r="L921" s="11" t="n">
        <f aca="false">MAX(A921-K921,0)</f>
        <v>453000</v>
      </c>
      <c r="M921" s="11" t="n">
        <f aca="false">SUMPRODUCT((L921&gt;'Tax Tables'!$A$5:$A$17)*(L921-'Tax Tables'!$A$5:$A$17)*'Tax Tables'!$C$5:$C$17)</f>
        <v>73810</v>
      </c>
      <c r="N921" s="11" t="n">
        <f aca="false">IF(H921&lt;0,-1E+099,A921-E921-M921+J921+(E921+F921)*Calculator!$B$9)</f>
        <v>-1E+099</v>
      </c>
      <c r="O921" s="2"/>
      <c r="P921" s="11" t="n">
        <f aca="false">908*$B$3</f>
        <v>454000</v>
      </c>
      <c r="Q921" s="11" t="n">
        <f aca="false">MIN(P921,'Tax Tables'!$B$31*'Tax Tables'!$B$32)</f>
        <v>96000</v>
      </c>
      <c r="R921" s="11" t="n">
        <f aca="false">P921-Q921</f>
        <v>358000</v>
      </c>
      <c r="S921" s="11" t="n">
        <f aca="false">IF(Calculator!$B$6="Yes",MIN(Q921,'Tax Tables'!$B$31*'Tax Tables'!$B$32),0)</f>
        <v>96000</v>
      </c>
      <c r="T921" s="11" t="n">
        <f aca="false">S921*Calculator!$B$7</f>
        <v>19200</v>
      </c>
      <c r="U921" s="11" t="n">
        <f aca="false">S921*Calculator!$B$8</f>
        <v>16320</v>
      </c>
      <c r="V921" s="11" t="n">
        <f aca="false">IF(Q921&gt;0,'Tax Tables'!$B$32*MIN(MAX(Q921/'Tax Tables'!$B$32*'Tax Tables'!$B$33,'Tax Tables'!$B$34),'Tax Tables'!$B$35),0)</f>
        <v>135</v>
      </c>
      <c r="W921" s="11" t="n">
        <f aca="false">Calculator!$B$5-P921-U921-V921</f>
        <v>-70455</v>
      </c>
      <c r="X921" s="11" t="n">
        <f aca="false">'Tax Tables'!$B$22*(MAX(W921,0)-IF(Calculator!$B$10="Yes",MIN(MAX(W921,0),'Tax Tables'!$B$27)*'Tax Tables'!$B$28+MIN(MAX(MAX(W921,0)-'Tax Tables'!$B$27,0),'Tax Tables'!$B$29)*'Tax Tables'!$B$30,MIN(MAX(W921,0),'Tax Tables'!$B$23)*'Tax Tables'!$B$24+MIN(MAX(MAX(W921,0)-'Tax Tables'!$B$23,0),'Tax Tables'!$B$25)*'Tax Tables'!$B$26))*1-MIN('Tax Tables'!$B$22*(MAX(W921,0)-IF(Calculator!$B$10="Yes",MIN(MAX(W921,0),'Tax Tables'!$B$27)*'Tax Tables'!$B$28+MIN(MAX(MAX(W921,0)-'Tax Tables'!$B$27,0),'Tax Tables'!$B$29)*'Tax Tables'!$B$30,MIN(MAX(W921,0),'Tax Tables'!$B$23)*'Tax Tables'!$B$24+MIN(MAX(MAX(W921,0)-'Tax Tables'!$B$23,0),'Tax Tables'!$B$25)*'Tax Tables'!$B$26))*Calculator!$B$11,Calculator!$B$12)</f>
        <v>0</v>
      </c>
      <c r="Y921" s="11" t="n">
        <f aca="false">MAX(W921,0)-X921</f>
        <v>0</v>
      </c>
      <c r="Z921" s="11" t="n">
        <f aca="false">MIN(IF(P921&gt;0,Calculator!$B$13,0)+T921+Calculator!$B$14,'Tax Tables'!$B$36)</f>
        <v>20200</v>
      </c>
      <c r="AA921" s="11" t="n">
        <f aca="false">MAX(P921-Z921,0)</f>
        <v>433800</v>
      </c>
      <c r="AB921" s="11" t="n">
        <f aca="false">SUMPRODUCT((AA921&gt;'Tax Tables'!$A$5:$A$17)*(AA921-'Tax Tables'!$A$5:$A$17)*'Tax Tables'!$C$5:$C$17)</f>
        <v>69586</v>
      </c>
      <c r="AC921" s="11" t="n">
        <f aca="false">IF(W921&lt;0,-1E+099,P921-T921-AB921+Y921+(T921+U921)*Calculator!$B$9)</f>
        <v>-1E+099</v>
      </c>
    </row>
    <row r="922" customFormat="false" ht="15" hidden="false" customHeight="false" outlineLevel="0" collapsed="false">
      <c r="A922" s="11" t="n">
        <f aca="false">909*$B$3</f>
        <v>454500</v>
      </c>
      <c r="B922" s="11" t="n">
        <f aca="false">0</f>
        <v>0</v>
      </c>
      <c r="C922" s="11" t="n">
        <f aca="false">A922-B922</f>
        <v>454500</v>
      </c>
      <c r="D922" s="11" t="n">
        <f aca="false">IF(Calculator!$B$6="Yes",MIN(B922,'Tax Tables'!$B$31*'Tax Tables'!$B$32),0)</f>
        <v>0</v>
      </c>
      <c r="E922" s="11" t="n">
        <f aca="false">D922*Calculator!$B$7</f>
        <v>0</v>
      </c>
      <c r="F922" s="11" t="n">
        <f aca="false">D922*Calculator!$B$8</f>
        <v>0</v>
      </c>
      <c r="G922" s="11" t="n">
        <f aca="false">IF(B922&gt;0,'Tax Tables'!$B$32*MIN(MAX(B922/'Tax Tables'!$B$32*'Tax Tables'!$B$33,'Tax Tables'!$B$34),'Tax Tables'!$B$35),0)</f>
        <v>0</v>
      </c>
      <c r="H922" s="11" t="n">
        <f aca="false">Calculator!$B$5-A922-F922-G922</f>
        <v>-54500</v>
      </c>
      <c r="I922" s="11" t="n">
        <f aca="false">'Tax Tables'!$B$22*(MAX(H922,0)-IF(Calculator!$B$10="Yes",MIN(MAX(H922,0),'Tax Tables'!$B$27)*'Tax Tables'!$B$28+MIN(MAX(MAX(H922,0)-'Tax Tables'!$B$27,0),'Tax Tables'!$B$29)*'Tax Tables'!$B$30,MIN(MAX(H922,0),'Tax Tables'!$B$23)*'Tax Tables'!$B$24+MIN(MAX(MAX(H922,0)-'Tax Tables'!$B$23,0),'Tax Tables'!$B$25)*'Tax Tables'!$B$26))*1-MIN('Tax Tables'!$B$22*(MAX(H922,0)-IF(Calculator!$B$10="Yes",MIN(MAX(H922,0),'Tax Tables'!$B$27)*'Tax Tables'!$B$28+MIN(MAX(MAX(H922,0)-'Tax Tables'!$B$27,0),'Tax Tables'!$B$29)*'Tax Tables'!$B$30,MIN(MAX(H922,0),'Tax Tables'!$B$23)*'Tax Tables'!$B$24+MIN(MAX(MAX(H922,0)-'Tax Tables'!$B$23,0),'Tax Tables'!$B$25)*'Tax Tables'!$B$26))*Calculator!$B$11,Calculator!$B$12)</f>
        <v>0</v>
      </c>
      <c r="J922" s="11" t="n">
        <f aca="false">MAX(H922,0)-I922</f>
        <v>0</v>
      </c>
      <c r="K922" s="11" t="n">
        <f aca="false">MIN(IF(A922&gt;0,Calculator!$B$13,0)+E922+Calculator!$B$14,'Tax Tables'!$B$36)</f>
        <v>1000</v>
      </c>
      <c r="L922" s="11" t="n">
        <f aca="false">MAX(A922-K922,0)</f>
        <v>453500</v>
      </c>
      <c r="M922" s="11" t="n">
        <f aca="false">SUMPRODUCT((L922&gt;'Tax Tables'!$A$5:$A$17)*(L922-'Tax Tables'!$A$5:$A$17)*'Tax Tables'!$C$5:$C$17)</f>
        <v>73920</v>
      </c>
      <c r="N922" s="11" t="n">
        <f aca="false">IF(H922&lt;0,-1E+099,A922-E922-M922+J922+(E922+F922)*Calculator!$B$9)</f>
        <v>-1E+099</v>
      </c>
      <c r="O922" s="2"/>
      <c r="P922" s="11" t="n">
        <f aca="false">909*$B$3</f>
        <v>454500</v>
      </c>
      <c r="Q922" s="11" t="n">
        <f aca="false">MIN(P922,'Tax Tables'!$B$31*'Tax Tables'!$B$32)</f>
        <v>96000</v>
      </c>
      <c r="R922" s="11" t="n">
        <f aca="false">P922-Q922</f>
        <v>358500</v>
      </c>
      <c r="S922" s="11" t="n">
        <f aca="false">IF(Calculator!$B$6="Yes",MIN(Q922,'Tax Tables'!$B$31*'Tax Tables'!$B$32),0)</f>
        <v>96000</v>
      </c>
      <c r="T922" s="11" t="n">
        <f aca="false">S922*Calculator!$B$7</f>
        <v>19200</v>
      </c>
      <c r="U922" s="11" t="n">
        <f aca="false">S922*Calculator!$B$8</f>
        <v>16320</v>
      </c>
      <c r="V922" s="11" t="n">
        <f aca="false">IF(Q922&gt;0,'Tax Tables'!$B$32*MIN(MAX(Q922/'Tax Tables'!$B$32*'Tax Tables'!$B$33,'Tax Tables'!$B$34),'Tax Tables'!$B$35),0)</f>
        <v>135</v>
      </c>
      <c r="W922" s="11" t="n">
        <f aca="false">Calculator!$B$5-P922-U922-V922</f>
        <v>-70955</v>
      </c>
      <c r="X922" s="11" t="n">
        <f aca="false">'Tax Tables'!$B$22*(MAX(W922,0)-IF(Calculator!$B$10="Yes",MIN(MAX(W922,0),'Tax Tables'!$B$27)*'Tax Tables'!$B$28+MIN(MAX(MAX(W922,0)-'Tax Tables'!$B$27,0),'Tax Tables'!$B$29)*'Tax Tables'!$B$30,MIN(MAX(W922,0),'Tax Tables'!$B$23)*'Tax Tables'!$B$24+MIN(MAX(MAX(W922,0)-'Tax Tables'!$B$23,0),'Tax Tables'!$B$25)*'Tax Tables'!$B$26))*1-MIN('Tax Tables'!$B$22*(MAX(W922,0)-IF(Calculator!$B$10="Yes",MIN(MAX(W922,0),'Tax Tables'!$B$27)*'Tax Tables'!$B$28+MIN(MAX(MAX(W922,0)-'Tax Tables'!$B$27,0),'Tax Tables'!$B$29)*'Tax Tables'!$B$30,MIN(MAX(W922,0),'Tax Tables'!$B$23)*'Tax Tables'!$B$24+MIN(MAX(MAX(W922,0)-'Tax Tables'!$B$23,0),'Tax Tables'!$B$25)*'Tax Tables'!$B$26))*Calculator!$B$11,Calculator!$B$12)</f>
        <v>0</v>
      </c>
      <c r="Y922" s="11" t="n">
        <f aca="false">MAX(W922,0)-X922</f>
        <v>0</v>
      </c>
      <c r="Z922" s="11" t="n">
        <f aca="false">MIN(IF(P922&gt;0,Calculator!$B$13,0)+T922+Calculator!$B$14,'Tax Tables'!$B$36)</f>
        <v>20200</v>
      </c>
      <c r="AA922" s="11" t="n">
        <f aca="false">MAX(P922-Z922,0)</f>
        <v>434300</v>
      </c>
      <c r="AB922" s="11" t="n">
        <f aca="false">SUMPRODUCT((AA922&gt;'Tax Tables'!$A$5:$A$17)*(AA922-'Tax Tables'!$A$5:$A$17)*'Tax Tables'!$C$5:$C$17)</f>
        <v>69696</v>
      </c>
      <c r="AC922" s="11" t="n">
        <f aca="false">IF(W922&lt;0,-1E+099,P922-T922-AB922+Y922+(T922+U922)*Calculator!$B$9)</f>
        <v>-1E+099</v>
      </c>
    </row>
    <row r="923" customFormat="false" ht="15" hidden="false" customHeight="false" outlineLevel="0" collapsed="false">
      <c r="A923" s="11" t="n">
        <f aca="false">910*$B$3</f>
        <v>455000</v>
      </c>
      <c r="B923" s="11" t="n">
        <f aca="false">0</f>
        <v>0</v>
      </c>
      <c r="C923" s="11" t="n">
        <f aca="false">A923-B923</f>
        <v>455000</v>
      </c>
      <c r="D923" s="11" t="n">
        <f aca="false">IF(Calculator!$B$6="Yes",MIN(B923,'Tax Tables'!$B$31*'Tax Tables'!$B$32),0)</f>
        <v>0</v>
      </c>
      <c r="E923" s="11" t="n">
        <f aca="false">D923*Calculator!$B$7</f>
        <v>0</v>
      </c>
      <c r="F923" s="11" t="n">
        <f aca="false">D923*Calculator!$B$8</f>
        <v>0</v>
      </c>
      <c r="G923" s="11" t="n">
        <f aca="false">IF(B923&gt;0,'Tax Tables'!$B$32*MIN(MAX(B923/'Tax Tables'!$B$32*'Tax Tables'!$B$33,'Tax Tables'!$B$34),'Tax Tables'!$B$35),0)</f>
        <v>0</v>
      </c>
      <c r="H923" s="11" t="n">
        <f aca="false">Calculator!$B$5-A923-F923-G923</f>
        <v>-55000</v>
      </c>
      <c r="I923" s="11" t="n">
        <f aca="false">'Tax Tables'!$B$22*(MAX(H923,0)-IF(Calculator!$B$10="Yes",MIN(MAX(H923,0),'Tax Tables'!$B$27)*'Tax Tables'!$B$28+MIN(MAX(MAX(H923,0)-'Tax Tables'!$B$27,0),'Tax Tables'!$B$29)*'Tax Tables'!$B$30,MIN(MAX(H923,0),'Tax Tables'!$B$23)*'Tax Tables'!$B$24+MIN(MAX(MAX(H923,0)-'Tax Tables'!$B$23,0),'Tax Tables'!$B$25)*'Tax Tables'!$B$26))*1-MIN('Tax Tables'!$B$22*(MAX(H923,0)-IF(Calculator!$B$10="Yes",MIN(MAX(H923,0),'Tax Tables'!$B$27)*'Tax Tables'!$B$28+MIN(MAX(MAX(H923,0)-'Tax Tables'!$B$27,0),'Tax Tables'!$B$29)*'Tax Tables'!$B$30,MIN(MAX(H923,0),'Tax Tables'!$B$23)*'Tax Tables'!$B$24+MIN(MAX(MAX(H923,0)-'Tax Tables'!$B$23,0),'Tax Tables'!$B$25)*'Tax Tables'!$B$26))*Calculator!$B$11,Calculator!$B$12)</f>
        <v>0</v>
      </c>
      <c r="J923" s="11" t="n">
        <f aca="false">MAX(H923,0)-I923</f>
        <v>0</v>
      </c>
      <c r="K923" s="11" t="n">
        <f aca="false">MIN(IF(A923&gt;0,Calculator!$B$13,0)+E923+Calculator!$B$14,'Tax Tables'!$B$36)</f>
        <v>1000</v>
      </c>
      <c r="L923" s="11" t="n">
        <f aca="false">MAX(A923-K923,0)</f>
        <v>454000</v>
      </c>
      <c r="M923" s="11" t="n">
        <f aca="false">SUMPRODUCT((L923&gt;'Tax Tables'!$A$5:$A$17)*(L923-'Tax Tables'!$A$5:$A$17)*'Tax Tables'!$C$5:$C$17)</f>
        <v>74030</v>
      </c>
      <c r="N923" s="11" t="n">
        <f aca="false">IF(H923&lt;0,-1E+099,A923-E923-M923+J923+(E923+F923)*Calculator!$B$9)</f>
        <v>-1E+099</v>
      </c>
      <c r="O923" s="2"/>
      <c r="P923" s="11" t="n">
        <f aca="false">910*$B$3</f>
        <v>455000</v>
      </c>
      <c r="Q923" s="11" t="n">
        <f aca="false">MIN(P923,'Tax Tables'!$B$31*'Tax Tables'!$B$32)</f>
        <v>96000</v>
      </c>
      <c r="R923" s="11" t="n">
        <f aca="false">P923-Q923</f>
        <v>359000</v>
      </c>
      <c r="S923" s="11" t="n">
        <f aca="false">IF(Calculator!$B$6="Yes",MIN(Q923,'Tax Tables'!$B$31*'Tax Tables'!$B$32),0)</f>
        <v>96000</v>
      </c>
      <c r="T923" s="11" t="n">
        <f aca="false">S923*Calculator!$B$7</f>
        <v>19200</v>
      </c>
      <c r="U923" s="11" t="n">
        <f aca="false">S923*Calculator!$B$8</f>
        <v>16320</v>
      </c>
      <c r="V923" s="11" t="n">
        <f aca="false">IF(Q923&gt;0,'Tax Tables'!$B$32*MIN(MAX(Q923/'Tax Tables'!$B$32*'Tax Tables'!$B$33,'Tax Tables'!$B$34),'Tax Tables'!$B$35),0)</f>
        <v>135</v>
      </c>
      <c r="W923" s="11" t="n">
        <f aca="false">Calculator!$B$5-P923-U923-V923</f>
        <v>-71455</v>
      </c>
      <c r="X923" s="11" t="n">
        <f aca="false">'Tax Tables'!$B$22*(MAX(W923,0)-IF(Calculator!$B$10="Yes",MIN(MAX(W923,0),'Tax Tables'!$B$27)*'Tax Tables'!$B$28+MIN(MAX(MAX(W923,0)-'Tax Tables'!$B$27,0),'Tax Tables'!$B$29)*'Tax Tables'!$B$30,MIN(MAX(W923,0),'Tax Tables'!$B$23)*'Tax Tables'!$B$24+MIN(MAX(MAX(W923,0)-'Tax Tables'!$B$23,0),'Tax Tables'!$B$25)*'Tax Tables'!$B$26))*1-MIN('Tax Tables'!$B$22*(MAX(W923,0)-IF(Calculator!$B$10="Yes",MIN(MAX(W923,0),'Tax Tables'!$B$27)*'Tax Tables'!$B$28+MIN(MAX(MAX(W923,0)-'Tax Tables'!$B$27,0),'Tax Tables'!$B$29)*'Tax Tables'!$B$30,MIN(MAX(W923,0),'Tax Tables'!$B$23)*'Tax Tables'!$B$24+MIN(MAX(MAX(W923,0)-'Tax Tables'!$B$23,0),'Tax Tables'!$B$25)*'Tax Tables'!$B$26))*Calculator!$B$11,Calculator!$B$12)</f>
        <v>0</v>
      </c>
      <c r="Y923" s="11" t="n">
        <f aca="false">MAX(W923,0)-X923</f>
        <v>0</v>
      </c>
      <c r="Z923" s="11" t="n">
        <f aca="false">MIN(IF(P923&gt;0,Calculator!$B$13,0)+T923+Calculator!$B$14,'Tax Tables'!$B$36)</f>
        <v>20200</v>
      </c>
      <c r="AA923" s="11" t="n">
        <f aca="false">MAX(P923-Z923,0)</f>
        <v>434800</v>
      </c>
      <c r="AB923" s="11" t="n">
        <f aca="false">SUMPRODUCT((AA923&gt;'Tax Tables'!$A$5:$A$17)*(AA923-'Tax Tables'!$A$5:$A$17)*'Tax Tables'!$C$5:$C$17)</f>
        <v>69806</v>
      </c>
      <c r="AC923" s="11" t="n">
        <f aca="false">IF(W923&lt;0,-1E+099,P923-T923-AB923+Y923+(T923+U923)*Calculator!$B$9)</f>
        <v>-1E+099</v>
      </c>
    </row>
    <row r="924" customFormat="false" ht="15" hidden="false" customHeight="false" outlineLevel="0" collapsed="false">
      <c r="A924" s="11" t="n">
        <f aca="false">911*$B$3</f>
        <v>455500</v>
      </c>
      <c r="B924" s="11" t="n">
        <f aca="false">0</f>
        <v>0</v>
      </c>
      <c r="C924" s="11" t="n">
        <f aca="false">A924-B924</f>
        <v>455500</v>
      </c>
      <c r="D924" s="11" t="n">
        <f aca="false">IF(Calculator!$B$6="Yes",MIN(B924,'Tax Tables'!$B$31*'Tax Tables'!$B$32),0)</f>
        <v>0</v>
      </c>
      <c r="E924" s="11" t="n">
        <f aca="false">D924*Calculator!$B$7</f>
        <v>0</v>
      </c>
      <c r="F924" s="11" t="n">
        <f aca="false">D924*Calculator!$B$8</f>
        <v>0</v>
      </c>
      <c r="G924" s="11" t="n">
        <f aca="false">IF(B924&gt;0,'Tax Tables'!$B$32*MIN(MAX(B924/'Tax Tables'!$B$32*'Tax Tables'!$B$33,'Tax Tables'!$B$34),'Tax Tables'!$B$35),0)</f>
        <v>0</v>
      </c>
      <c r="H924" s="11" t="n">
        <f aca="false">Calculator!$B$5-A924-F924-G924</f>
        <v>-55500</v>
      </c>
      <c r="I924" s="11" t="n">
        <f aca="false">'Tax Tables'!$B$22*(MAX(H924,0)-IF(Calculator!$B$10="Yes",MIN(MAX(H924,0),'Tax Tables'!$B$27)*'Tax Tables'!$B$28+MIN(MAX(MAX(H924,0)-'Tax Tables'!$B$27,0),'Tax Tables'!$B$29)*'Tax Tables'!$B$30,MIN(MAX(H924,0),'Tax Tables'!$B$23)*'Tax Tables'!$B$24+MIN(MAX(MAX(H924,0)-'Tax Tables'!$B$23,0),'Tax Tables'!$B$25)*'Tax Tables'!$B$26))*1-MIN('Tax Tables'!$B$22*(MAX(H924,0)-IF(Calculator!$B$10="Yes",MIN(MAX(H924,0),'Tax Tables'!$B$27)*'Tax Tables'!$B$28+MIN(MAX(MAX(H924,0)-'Tax Tables'!$B$27,0),'Tax Tables'!$B$29)*'Tax Tables'!$B$30,MIN(MAX(H924,0),'Tax Tables'!$B$23)*'Tax Tables'!$B$24+MIN(MAX(MAX(H924,0)-'Tax Tables'!$B$23,0),'Tax Tables'!$B$25)*'Tax Tables'!$B$26))*Calculator!$B$11,Calculator!$B$12)</f>
        <v>0</v>
      </c>
      <c r="J924" s="11" t="n">
        <f aca="false">MAX(H924,0)-I924</f>
        <v>0</v>
      </c>
      <c r="K924" s="11" t="n">
        <f aca="false">MIN(IF(A924&gt;0,Calculator!$B$13,0)+E924+Calculator!$B$14,'Tax Tables'!$B$36)</f>
        <v>1000</v>
      </c>
      <c r="L924" s="11" t="n">
        <f aca="false">MAX(A924-K924,0)</f>
        <v>454500</v>
      </c>
      <c r="M924" s="11" t="n">
        <f aca="false">SUMPRODUCT((L924&gt;'Tax Tables'!$A$5:$A$17)*(L924-'Tax Tables'!$A$5:$A$17)*'Tax Tables'!$C$5:$C$17)</f>
        <v>74140</v>
      </c>
      <c r="N924" s="11" t="n">
        <f aca="false">IF(H924&lt;0,-1E+099,A924-E924-M924+J924+(E924+F924)*Calculator!$B$9)</f>
        <v>-1E+099</v>
      </c>
      <c r="O924" s="2"/>
      <c r="P924" s="11" t="n">
        <f aca="false">911*$B$3</f>
        <v>455500</v>
      </c>
      <c r="Q924" s="11" t="n">
        <f aca="false">MIN(P924,'Tax Tables'!$B$31*'Tax Tables'!$B$32)</f>
        <v>96000</v>
      </c>
      <c r="R924" s="11" t="n">
        <f aca="false">P924-Q924</f>
        <v>359500</v>
      </c>
      <c r="S924" s="11" t="n">
        <f aca="false">IF(Calculator!$B$6="Yes",MIN(Q924,'Tax Tables'!$B$31*'Tax Tables'!$B$32),0)</f>
        <v>96000</v>
      </c>
      <c r="T924" s="11" t="n">
        <f aca="false">S924*Calculator!$B$7</f>
        <v>19200</v>
      </c>
      <c r="U924" s="11" t="n">
        <f aca="false">S924*Calculator!$B$8</f>
        <v>16320</v>
      </c>
      <c r="V924" s="11" t="n">
        <f aca="false">IF(Q924&gt;0,'Tax Tables'!$B$32*MIN(MAX(Q924/'Tax Tables'!$B$32*'Tax Tables'!$B$33,'Tax Tables'!$B$34),'Tax Tables'!$B$35),0)</f>
        <v>135</v>
      </c>
      <c r="W924" s="11" t="n">
        <f aca="false">Calculator!$B$5-P924-U924-V924</f>
        <v>-71955</v>
      </c>
      <c r="X924" s="11" t="n">
        <f aca="false">'Tax Tables'!$B$22*(MAX(W924,0)-IF(Calculator!$B$10="Yes",MIN(MAX(W924,0),'Tax Tables'!$B$27)*'Tax Tables'!$B$28+MIN(MAX(MAX(W924,0)-'Tax Tables'!$B$27,0),'Tax Tables'!$B$29)*'Tax Tables'!$B$30,MIN(MAX(W924,0),'Tax Tables'!$B$23)*'Tax Tables'!$B$24+MIN(MAX(MAX(W924,0)-'Tax Tables'!$B$23,0),'Tax Tables'!$B$25)*'Tax Tables'!$B$26))*1-MIN('Tax Tables'!$B$22*(MAX(W924,0)-IF(Calculator!$B$10="Yes",MIN(MAX(W924,0),'Tax Tables'!$B$27)*'Tax Tables'!$B$28+MIN(MAX(MAX(W924,0)-'Tax Tables'!$B$27,0),'Tax Tables'!$B$29)*'Tax Tables'!$B$30,MIN(MAX(W924,0),'Tax Tables'!$B$23)*'Tax Tables'!$B$24+MIN(MAX(MAX(W924,0)-'Tax Tables'!$B$23,0),'Tax Tables'!$B$25)*'Tax Tables'!$B$26))*Calculator!$B$11,Calculator!$B$12)</f>
        <v>0</v>
      </c>
      <c r="Y924" s="11" t="n">
        <f aca="false">MAX(W924,0)-X924</f>
        <v>0</v>
      </c>
      <c r="Z924" s="11" t="n">
        <f aca="false">MIN(IF(P924&gt;0,Calculator!$B$13,0)+T924+Calculator!$B$14,'Tax Tables'!$B$36)</f>
        <v>20200</v>
      </c>
      <c r="AA924" s="11" t="n">
        <f aca="false">MAX(P924-Z924,0)</f>
        <v>435300</v>
      </c>
      <c r="AB924" s="11" t="n">
        <f aca="false">SUMPRODUCT((AA924&gt;'Tax Tables'!$A$5:$A$17)*(AA924-'Tax Tables'!$A$5:$A$17)*'Tax Tables'!$C$5:$C$17)</f>
        <v>69916</v>
      </c>
      <c r="AC924" s="11" t="n">
        <f aca="false">IF(W924&lt;0,-1E+099,P924-T924-AB924+Y924+(T924+U924)*Calculator!$B$9)</f>
        <v>-1E+099</v>
      </c>
    </row>
    <row r="925" customFormat="false" ht="15" hidden="false" customHeight="false" outlineLevel="0" collapsed="false">
      <c r="A925" s="11" t="n">
        <f aca="false">912*$B$3</f>
        <v>456000</v>
      </c>
      <c r="B925" s="11" t="n">
        <f aca="false">0</f>
        <v>0</v>
      </c>
      <c r="C925" s="11" t="n">
        <f aca="false">A925-B925</f>
        <v>456000</v>
      </c>
      <c r="D925" s="11" t="n">
        <f aca="false">IF(Calculator!$B$6="Yes",MIN(B925,'Tax Tables'!$B$31*'Tax Tables'!$B$32),0)</f>
        <v>0</v>
      </c>
      <c r="E925" s="11" t="n">
        <f aca="false">D925*Calculator!$B$7</f>
        <v>0</v>
      </c>
      <c r="F925" s="11" t="n">
        <f aca="false">D925*Calculator!$B$8</f>
        <v>0</v>
      </c>
      <c r="G925" s="11" t="n">
        <f aca="false">IF(B925&gt;0,'Tax Tables'!$B$32*MIN(MAX(B925/'Tax Tables'!$B$32*'Tax Tables'!$B$33,'Tax Tables'!$B$34),'Tax Tables'!$B$35),0)</f>
        <v>0</v>
      </c>
      <c r="H925" s="11" t="n">
        <f aca="false">Calculator!$B$5-A925-F925-G925</f>
        <v>-56000</v>
      </c>
      <c r="I925" s="11" t="n">
        <f aca="false">'Tax Tables'!$B$22*(MAX(H925,0)-IF(Calculator!$B$10="Yes",MIN(MAX(H925,0),'Tax Tables'!$B$27)*'Tax Tables'!$B$28+MIN(MAX(MAX(H925,0)-'Tax Tables'!$B$27,0),'Tax Tables'!$B$29)*'Tax Tables'!$B$30,MIN(MAX(H925,0),'Tax Tables'!$B$23)*'Tax Tables'!$B$24+MIN(MAX(MAX(H925,0)-'Tax Tables'!$B$23,0),'Tax Tables'!$B$25)*'Tax Tables'!$B$26))*1-MIN('Tax Tables'!$B$22*(MAX(H925,0)-IF(Calculator!$B$10="Yes",MIN(MAX(H925,0),'Tax Tables'!$B$27)*'Tax Tables'!$B$28+MIN(MAX(MAX(H925,0)-'Tax Tables'!$B$27,0),'Tax Tables'!$B$29)*'Tax Tables'!$B$30,MIN(MAX(H925,0),'Tax Tables'!$B$23)*'Tax Tables'!$B$24+MIN(MAX(MAX(H925,0)-'Tax Tables'!$B$23,0),'Tax Tables'!$B$25)*'Tax Tables'!$B$26))*Calculator!$B$11,Calculator!$B$12)</f>
        <v>0</v>
      </c>
      <c r="J925" s="11" t="n">
        <f aca="false">MAX(H925,0)-I925</f>
        <v>0</v>
      </c>
      <c r="K925" s="11" t="n">
        <f aca="false">MIN(IF(A925&gt;0,Calculator!$B$13,0)+E925+Calculator!$B$14,'Tax Tables'!$B$36)</f>
        <v>1000</v>
      </c>
      <c r="L925" s="11" t="n">
        <f aca="false">MAX(A925-K925,0)</f>
        <v>455000</v>
      </c>
      <c r="M925" s="11" t="n">
        <f aca="false">SUMPRODUCT((L925&gt;'Tax Tables'!$A$5:$A$17)*(L925-'Tax Tables'!$A$5:$A$17)*'Tax Tables'!$C$5:$C$17)</f>
        <v>74250</v>
      </c>
      <c r="N925" s="11" t="n">
        <f aca="false">IF(H925&lt;0,-1E+099,A925-E925-M925+J925+(E925+F925)*Calculator!$B$9)</f>
        <v>-1E+099</v>
      </c>
      <c r="O925" s="2"/>
      <c r="P925" s="11" t="n">
        <f aca="false">912*$B$3</f>
        <v>456000</v>
      </c>
      <c r="Q925" s="11" t="n">
        <f aca="false">MIN(P925,'Tax Tables'!$B$31*'Tax Tables'!$B$32)</f>
        <v>96000</v>
      </c>
      <c r="R925" s="11" t="n">
        <f aca="false">P925-Q925</f>
        <v>360000</v>
      </c>
      <c r="S925" s="11" t="n">
        <f aca="false">IF(Calculator!$B$6="Yes",MIN(Q925,'Tax Tables'!$B$31*'Tax Tables'!$B$32),0)</f>
        <v>96000</v>
      </c>
      <c r="T925" s="11" t="n">
        <f aca="false">S925*Calculator!$B$7</f>
        <v>19200</v>
      </c>
      <c r="U925" s="11" t="n">
        <f aca="false">S925*Calculator!$B$8</f>
        <v>16320</v>
      </c>
      <c r="V925" s="11" t="n">
        <f aca="false">IF(Q925&gt;0,'Tax Tables'!$B$32*MIN(MAX(Q925/'Tax Tables'!$B$32*'Tax Tables'!$B$33,'Tax Tables'!$B$34),'Tax Tables'!$B$35),0)</f>
        <v>135</v>
      </c>
      <c r="W925" s="11" t="n">
        <f aca="false">Calculator!$B$5-P925-U925-V925</f>
        <v>-72455</v>
      </c>
      <c r="X925" s="11" t="n">
        <f aca="false">'Tax Tables'!$B$22*(MAX(W925,0)-IF(Calculator!$B$10="Yes",MIN(MAX(W925,0),'Tax Tables'!$B$27)*'Tax Tables'!$B$28+MIN(MAX(MAX(W925,0)-'Tax Tables'!$B$27,0),'Tax Tables'!$B$29)*'Tax Tables'!$B$30,MIN(MAX(W925,0),'Tax Tables'!$B$23)*'Tax Tables'!$B$24+MIN(MAX(MAX(W925,0)-'Tax Tables'!$B$23,0),'Tax Tables'!$B$25)*'Tax Tables'!$B$26))*1-MIN('Tax Tables'!$B$22*(MAX(W925,0)-IF(Calculator!$B$10="Yes",MIN(MAX(W925,0),'Tax Tables'!$B$27)*'Tax Tables'!$B$28+MIN(MAX(MAX(W925,0)-'Tax Tables'!$B$27,0),'Tax Tables'!$B$29)*'Tax Tables'!$B$30,MIN(MAX(W925,0),'Tax Tables'!$B$23)*'Tax Tables'!$B$24+MIN(MAX(MAX(W925,0)-'Tax Tables'!$B$23,0),'Tax Tables'!$B$25)*'Tax Tables'!$B$26))*Calculator!$B$11,Calculator!$B$12)</f>
        <v>0</v>
      </c>
      <c r="Y925" s="11" t="n">
        <f aca="false">MAX(W925,0)-X925</f>
        <v>0</v>
      </c>
      <c r="Z925" s="11" t="n">
        <f aca="false">MIN(IF(P925&gt;0,Calculator!$B$13,0)+T925+Calculator!$B$14,'Tax Tables'!$B$36)</f>
        <v>20200</v>
      </c>
      <c r="AA925" s="11" t="n">
        <f aca="false">MAX(P925-Z925,0)</f>
        <v>435800</v>
      </c>
      <c r="AB925" s="11" t="n">
        <f aca="false">SUMPRODUCT((AA925&gt;'Tax Tables'!$A$5:$A$17)*(AA925-'Tax Tables'!$A$5:$A$17)*'Tax Tables'!$C$5:$C$17)</f>
        <v>70026</v>
      </c>
      <c r="AC925" s="11" t="n">
        <f aca="false">IF(W925&lt;0,-1E+099,P925-T925-AB925+Y925+(T925+U925)*Calculator!$B$9)</f>
        <v>-1E+099</v>
      </c>
    </row>
    <row r="926" customFormat="false" ht="15" hidden="false" customHeight="false" outlineLevel="0" collapsed="false">
      <c r="A926" s="11" t="n">
        <f aca="false">913*$B$3</f>
        <v>456500</v>
      </c>
      <c r="B926" s="11" t="n">
        <f aca="false">0</f>
        <v>0</v>
      </c>
      <c r="C926" s="11" t="n">
        <f aca="false">A926-B926</f>
        <v>456500</v>
      </c>
      <c r="D926" s="11" t="n">
        <f aca="false">IF(Calculator!$B$6="Yes",MIN(B926,'Tax Tables'!$B$31*'Tax Tables'!$B$32),0)</f>
        <v>0</v>
      </c>
      <c r="E926" s="11" t="n">
        <f aca="false">D926*Calculator!$B$7</f>
        <v>0</v>
      </c>
      <c r="F926" s="11" t="n">
        <f aca="false">D926*Calculator!$B$8</f>
        <v>0</v>
      </c>
      <c r="G926" s="11" t="n">
        <f aca="false">IF(B926&gt;0,'Tax Tables'!$B$32*MIN(MAX(B926/'Tax Tables'!$B$32*'Tax Tables'!$B$33,'Tax Tables'!$B$34),'Tax Tables'!$B$35),0)</f>
        <v>0</v>
      </c>
      <c r="H926" s="11" t="n">
        <f aca="false">Calculator!$B$5-A926-F926-G926</f>
        <v>-56500</v>
      </c>
      <c r="I926" s="11" t="n">
        <f aca="false">'Tax Tables'!$B$22*(MAX(H926,0)-IF(Calculator!$B$10="Yes",MIN(MAX(H926,0),'Tax Tables'!$B$27)*'Tax Tables'!$B$28+MIN(MAX(MAX(H926,0)-'Tax Tables'!$B$27,0),'Tax Tables'!$B$29)*'Tax Tables'!$B$30,MIN(MAX(H926,0),'Tax Tables'!$B$23)*'Tax Tables'!$B$24+MIN(MAX(MAX(H926,0)-'Tax Tables'!$B$23,0),'Tax Tables'!$B$25)*'Tax Tables'!$B$26))*1-MIN('Tax Tables'!$B$22*(MAX(H926,0)-IF(Calculator!$B$10="Yes",MIN(MAX(H926,0),'Tax Tables'!$B$27)*'Tax Tables'!$B$28+MIN(MAX(MAX(H926,0)-'Tax Tables'!$B$27,0),'Tax Tables'!$B$29)*'Tax Tables'!$B$30,MIN(MAX(H926,0),'Tax Tables'!$B$23)*'Tax Tables'!$B$24+MIN(MAX(MAX(H926,0)-'Tax Tables'!$B$23,0),'Tax Tables'!$B$25)*'Tax Tables'!$B$26))*Calculator!$B$11,Calculator!$B$12)</f>
        <v>0</v>
      </c>
      <c r="J926" s="11" t="n">
        <f aca="false">MAX(H926,0)-I926</f>
        <v>0</v>
      </c>
      <c r="K926" s="11" t="n">
        <f aca="false">MIN(IF(A926&gt;0,Calculator!$B$13,0)+E926+Calculator!$B$14,'Tax Tables'!$B$36)</f>
        <v>1000</v>
      </c>
      <c r="L926" s="11" t="n">
        <f aca="false">MAX(A926-K926,0)</f>
        <v>455500</v>
      </c>
      <c r="M926" s="11" t="n">
        <f aca="false">SUMPRODUCT((L926&gt;'Tax Tables'!$A$5:$A$17)*(L926-'Tax Tables'!$A$5:$A$17)*'Tax Tables'!$C$5:$C$17)</f>
        <v>74360</v>
      </c>
      <c r="N926" s="11" t="n">
        <f aca="false">IF(H926&lt;0,-1E+099,A926-E926-M926+J926+(E926+F926)*Calculator!$B$9)</f>
        <v>-1E+099</v>
      </c>
      <c r="O926" s="2"/>
      <c r="P926" s="11" t="n">
        <f aca="false">913*$B$3</f>
        <v>456500</v>
      </c>
      <c r="Q926" s="11" t="n">
        <f aca="false">MIN(P926,'Tax Tables'!$B$31*'Tax Tables'!$B$32)</f>
        <v>96000</v>
      </c>
      <c r="R926" s="11" t="n">
        <f aca="false">P926-Q926</f>
        <v>360500</v>
      </c>
      <c r="S926" s="11" t="n">
        <f aca="false">IF(Calculator!$B$6="Yes",MIN(Q926,'Tax Tables'!$B$31*'Tax Tables'!$B$32),0)</f>
        <v>96000</v>
      </c>
      <c r="T926" s="11" t="n">
        <f aca="false">S926*Calculator!$B$7</f>
        <v>19200</v>
      </c>
      <c r="U926" s="11" t="n">
        <f aca="false">S926*Calculator!$B$8</f>
        <v>16320</v>
      </c>
      <c r="V926" s="11" t="n">
        <f aca="false">IF(Q926&gt;0,'Tax Tables'!$B$32*MIN(MAX(Q926/'Tax Tables'!$B$32*'Tax Tables'!$B$33,'Tax Tables'!$B$34),'Tax Tables'!$B$35),0)</f>
        <v>135</v>
      </c>
      <c r="W926" s="11" t="n">
        <f aca="false">Calculator!$B$5-P926-U926-V926</f>
        <v>-72955</v>
      </c>
      <c r="X926" s="11" t="n">
        <f aca="false">'Tax Tables'!$B$22*(MAX(W926,0)-IF(Calculator!$B$10="Yes",MIN(MAX(W926,0),'Tax Tables'!$B$27)*'Tax Tables'!$B$28+MIN(MAX(MAX(W926,0)-'Tax Tables'!$B$27,0),'Tax Tables'!$B$29)*'Tax Tables'!$B$30,MIN(MAX(W926,0),'Tax Tables'!$B$23)*'Tax Tables'!$B$24+MIN(MAX(MAX(W926,0)-'Tax Tables'!$B$23,0),'Tax Tables'!$B$25)*'Tax Tables'!$B$26))*1-MIN('Tax Tables'!$B$22*(MAX(W926,0)-IF(Calculator!$B$10="Yes",MIN(MAX(W926,0),'Tax Tables'!$B$27)*'Tax Tables'!$B$28+MIN(MAX(MAX(W926,0)-'Tax Tables'!$B$27,0),'Tax Tables'!$B$29)*'Tax Tables'!$B$30,MIN(MAX(W926,0),'Tax Tables'!$B$23)*'Tax Tables'!$B$24+MIN(MAX(MAX(W926,0)-'Tax Tables'!$B$23,0),'Tax Tables'!$B$25)*'Tax Tables'!$B$26))*Calculator!$B$11,Calculator!$B$12)</f>
        <v>0</v>
      </c>
      <c r="Y926" s="11" t="n">
        <f aca="false">MAX(W926,0)-X926</f>
        <v>0</v>
      </c>
      <c r="Z926" s="11" t="n">
        <f aca="false">MIN(IF(P926&gt;0,Calculator!$B$13,0)+T926+Calculator!$B$14,'Tax Tables'!$B$36)</f>
        <v>20200</v>
      </c>
      <c r="AA926" s="11" t="n">
        <f aca="false">MAX(P926-Z926,0)</f>
        <v>436300</v>
      </c>
      <c r="AB926" s="11" t="n">
        <f aca="false">SUMPRODUCT((AA926&gt;'Tax Tables'!$A$5:$A$17)*(AA926-'Tax Tables'!$A$5:$A$17)*'Tax Tables'!$C$5:$C$17)</f>
        <v>70136</v>
      </c>
      <c r="AC926" s="11" t="n">
        <f aca="false">IF(W926&lt;0,-1E+099,P926-T926-AB926+Y926+(T926+U926)*Calculator!$B$9)</f>
        <v>-1E+099</v>
      </c>
    </row>
    <row r="927" customFormat="false" ht="15" hidden="false" customHeight="false" outlineLevel="0" collapsed="false">
      <c r="A927" s="11" t="n">
        <f aca="false">914*$B$3</f>
        <v>457000</v>
      </c>
      <c r="B927" s="11" t="n">
        <f aca="false">0</f>
        <v>0</v>
      </c>
      <c r="C927" s="11" t="n">
        <f aca="false">A927-B927</f>
        <v>457000</v>
      </c>
      <c r="D927" s="11" t="n">
        <f aca="false">IF(Calculator!$B$6="Yes",MIN(B927,'Tax Tables'!$B$31*'Tax Tables'!$B$32),0)</f>
        <v>0</v>
      </c>
      <c r="E927" s="11" t="n">
        <f aca="false">D927*Calculator!$B$7</f>
        <v>0</v>
      </c>
      <c r="F927" s="11" t="n">
        <f aca="false">D927*Calculator!$B$8</f>
        <v>0</v>
      </c>
      <c r="G927" s="11" t="n">
        <f aca="false">IF(B927&gt;0,'Tax Tables'!$B$32*MIN(MAX(B927/'Tax Tables'!$B$32*'Tax Tables'!$B$33,'Tax Tables'!$B$34),'Tax Tables'!$B$35),0)</f>
        <v>0</v>
      </c>
      <c r="H927" s="11" t="n">
        <f aca="false">Calculator!$B$5-A927-F927-G927</f>
        <v>-57000</v>
      </c>
      <c r="I927" s="11" t="n">
        <f aca="false">'Tax Tables'!$B$22*(MAX(H927,0)-IF(Calculator!$B$10="Yes",MIN(MAX(H927,0),'Tax Tables'!$B$27)*'Tax Tables'!$B$28+MIN(MAX(MAX(H927,0)-'Tax Tables'!$B$27,0),'Tax Tables'!$B$29)*'Tax Tables'!$B$30,MIN(MAX(H927,0),'Tax Tables'!$B$23)*'Tax Tables'!$B$24+MIN(MAX(MAX(H927,0)-'Tax Tables'!$B$23,0),'Tax Tables'!$B$25)*'Tax Tables'!$B$26))*1-MIN('Tax Tables'!$B$22*(MAX(H927,0)-IF(Calculator!$B$10="Yes",MIN(MAX(H927,0),'Tax Tables'!$B$27)*'Tax Tables'!$B$28+MIN(MAX(MAX(H927,0)-'Tax Tables'!$B$27,0),'Tax Tables'!$B$29)*'Tax Tables'!$B$30,MIN(MAX(H927,0),'Tax Tables'!$B$23)*'Tax Tables'!$B$24+MIN(MAX(MAX(H927,0)-'Tax Tables'!$B$23,0),'Tax Tables'!$B$25)*'Tax Tables'!$B$26))*Calculator!$B$11,Calculator!$B$12)</f>
        <v>0</v>
      </c>
      <c r="J927" s="11" t="n">
        <f aca="false">MAX(H927,0)-I927</f>
        <v>0</v>
      </c>
      <c r="K927" s="11" t="n">
        <f aca="false">MIN(IF(A927&gt;0,Calculator!$B$13,0)+E927+Calculator!$B$14,'Tax Tables'!$B$36)</f>
        <v>1000</v>
      </c>
      <c r="L927" s="11" t="n">
        <f aca="false">MAX(A927-K927,0)</f>
        <v>456000</v>
      </c>
      <c r="M927" s="11" t="n">
        <f aca="false">SUMPRODUCT((L927&gt;'Tax Tables'!$A$5:$A$17)*(L927-'Tax Tables'!$A$5:$A$17)*'Tax Tables'!$C$5:$C$17)</f>
        <v>74470</v>
      </c>
      <c r="N927" s="11" t="n">
        <f aca="false">IF(H927&lt;0,-1E+099,A927-E927-M927+J927+(E927+F927)*Calculator!$B$9)</f>
        <v>-1E+099</v>
      </c>
      <c r="O927" s="2"/>
      <c r="P927" s="11" t="n">
        <f aca="false">914*$B$3</f>
        <v>457000</v>
      </c>
      <c r="Q927" s="11" t="n">
        <f aca="false">MIN(P927,'Tax Tables'!$B$31*'Tax Tables'!$B$32)</f>
        <v>96000</v>
      </c>
      <c r="R927" s="11" t="n">
        <f aca="false">P927-Q927</f>
        <v>361000</v>
      </c>
      <c r="S927" s="11" t="n">
        <f aca="false">IF(Calculator!$B$6="Yes",MIN(Q927,'Tax Tables'!$B$31*'Tax Tables'!$B$32),0)</f>
        <v>96000</v>
      </c>
      <c r="T927" s="11" t="n">
        <f aca="false">S927*Calculator!$B$7</f>
        <v>19200</v>
      </c>
      <c r="U927" s="11" t="n">
        <f aca="false">S927*Calculator!$B$8</f>
        <v>16320</v>
      </c>
      <c r="V927" s="11" t="n">
        <f aca="false">IF(Q927&gt;0,'Tax Tables'!$B$32*MIN(MAX(Q927/'Tax Tables'!$B$32*'Tax Tables'!$B$33,'Tax Tables'!$B$34),'Tax Tables'!$B$35),0)</f>
        <v>135</v>
      </c>
      <c r="W927" s="11" t="n">
        <f aca="false">Calculator!$B$5-P927-U927-V927</f>
        <v>-73455</v>
      </c>
      <c r="X927" s="11" t="n">
        <f aca="false">'Tax Tables'!$B$22*(MAX(W927,0)-IF(Calculator!$B$10="Yes",MIN(MAX(W927,0),'Tax Tables'!$B$27)*'Tax Tables'!$B$28+MIN(MAX(MAX(W927,0)-'Tax Tables'!$B$27,0),'Tax Tables'!$B$29)*'Tax Tables'!$B$30,MIN(MAX(W927,0),'Tax Tables'!$B$23)*'Tax Tables'!$B$24+MIN(MAX(MAX(W927,0)-'Tax Tables'!$B$23,0),'Tax Tables'!$B$25)*'Tax Tables'!$B$26))*1-MIN('Tax Tables'!$B$22*(MAX(W927,0)-IF(Calculator!$B$10="Yes",MIN(MAX(W927,0),'Tax Tables'!$B$27)*'Tax Tables'!$B$28+MIN(MAX(MAX(W927,0)-'Tax Tables'!$B$27,0),'Tax Tables'!$B$29)*'Tax Tables'!$B$30,MIN(MAX(W927,0),'Tax Tables'!$B$23)*'Tax Tables'!$B$24+MIN(MAX(MAX(W927,0)-'Tax Tables'!$B$23,0),'Tax Tables'!$B$25)*'Tax Tables'!$B$26))*Calculator!$B$11,Calculator!$B$12)</f>
        <v>0</v>
      </c>
      <c r="Y927" s="11" t="n">
        <f aca="false">MAX(W927,0)-X927</f>
        <v>0</v>
      </c>
      <c r="Z927" s="11" t="n">
        <f aca="false">MIN(IF(P927&gt;0,Calculator!$B$13,0)+T927+Calculator!$B$14,'Tax Tables'!$B$36)</f>
        <v>20200</v>
      </c>
      <c r="AA927" s="11" t="n">
        <f aca="false">MAX(P927-Z927,0)</f>
        <v>436800</v>
      </c>
      <c r="AB927" s="11" t="n">
        <f aca="false">SUMPRODUCT((AA927&gt;'Tax Tables'!$A$5:$A$17)*(AA927-'Tax Tables'!$A$5:$A$17)*'Tax Tables'!$C$5:$C$17)</f>
        <v>70246</v>
      </c>
      <c r="AC927" s="11" t="n">
        <f aca="false">IF(W927&lt;0,-1E+099,P927-T927-AB927+Y927+(T927+U927)*Calculator!$B$9)</f>
        <v>-1E+099</v>
      </c>
    </row>
    <row r="928" customFormat="false" ht="15" hidden="false" customHeight="false" outlineLevel="0" collapsed="false">
      <c r="A928" s="11" t="n">
        <f aca="false">915*$B$3</f>
        <v>457500</v>
      </c>
      <c r="B928" s="11" t="n">
        <f aca="false">0</f>
        <v>0</v>
      </c>
      <c r="C928" s="11" t="n">
        <f aca="false">A928-B928</f>
        <v>457500</v>
      </c>
      <c r="D928" s="11" t="n">
        <f aca="false">IF(Calculator!$B$6="Yes",MIN(B928,'Tax Tables'!$B$31*'Tax Tables'!$B$32),0)</f>
        <v>0</v>
      </c>
      <c r="E928" s="11" t="n">
        <f aca="false">D928*Calculator!$B$7</f>
        <v>0</v>
      </c>
      <c r="F928" s="11" t="n">
        <f aca="false">D928*Calculator!$B$8</f>
        <v>0</v>
      </c>
      <c r="G928" s="11" t="n">
        <f aca="false">IF(B928&gt;0,'Tax Tables'!$B$32*MIN(MAX(B928/'Tax Tables'!$B$32*'Tax Tables'!$B$33,'Tax Tables'!$B$34),'Tax Tables'!$B$35),0)</f>
        <v>0</v>
      </c>
      <c r="H928" s="11" t="n">
        <f aca="false">Calculator!$B$5-A928-F928-G928</f>
        <v>-57500</v>
      </c>
      <c r="I928" s="11" t="n">
        <f aca="false">'Tax Tables'!$B$22*(MAX(H928,0)-IF(Calculator!$B$10="Yes",MIN(MAX(H928,0),'Tax Tables'!$B$27)*'Tax Tables'!$B$28+MIN(MAX(MAX(H928,0)-'Tax Tables'!$B$27,0),'Tax Tables'!$B$29)*'Tax Tables'!$B$30,MIN(MAX(H928,0),'Tax Tables'!$B$23)*'Tax Tables'!$B$24+MIN(MAX(MAX(H928,0)-'Tax Tables'!$B$23,0),'Tax Tables'!$B$25)*'Tax Tables'!$B$26))*1-MIN('Tax Tables'!$B$22*(MAX(H928,0)-IF(Calculator!$B$10="Yes",MIN(MAX(H928,0),'Tax Tables'!$B$27)*'Tax Tables'!$B$28+MIN(MAX(MAX(H928,0)-'Tax Tables'!$B$27,0),'Tax Tables'!$B$29)*'Tax Tables'!$B$30,MIN(MAX(H928,0),'Tax Tables'!$B$23)*'Tax Tables'!$B$24+MIN(MAX(MAX(H928,0)-'Tax Tables'!$B$23,0),'Tax Tables'!$B$25)*'Tax Tables'!$B$26))*Calculator!$B$11,Calculator!$B$12)</f>
        <v>0</v>
      </c>
      <c r="J928" s="11" t="n">
        <f aca="false">MAX(H928,0)-I928</f>
        <v>0</v>
      </c>
      <c r="K928" s="11" t="n">
        <f aca="false">MIN(IF(A928&gt;0,Calculator!$B$13,0)+E928+Calculator!$B$14,'Tax Tables'!$B$36)</f>
        <v>1000</v>
      </c>
      <c r="L928" s="11" t="n">
        <f aca="false">MAX(A928-K928,0)</f>
        <v>456500</v>
      </c>
      <c r="M928" s="11" t="n">
        <f aca="false">SUMPRODUCT((L928&gt;'Tax Tables'!$A$5:$A$17)*(L928-'Tax Tables'!$A$5:$A$17)*'Tax Tables'!$C$5:$C$17)</f>
        <v>74580</v>
      </c>
      <c r="N928" s="11" t="n">
        <f aca="false">IF(H928&lt;0,-1E+099,A928-E928-M928+J928+(E928+F928)*Calculator!$B$9)</f>
        <v>-1E+099</v>
      </c>
      <c r="O928" s="2"/>
      <c r="P928" s="11" t="n">
        <f aca="false">915*$B$3</f>
        <v>457500</v>
      </c>
      <c r="Q928" s="11" t="n">
        <f aca="false">MIN(P928,'Tax Tables'!$B$31*'Tax Tables'!$B$32)</f>
        <v>96000</v>
      </c>
      <c r="R928" s="11" t="n">
        <f aca="false">P928-Q928</f>
        <v>361500</v>
      </c>
      <c r="S928" s="11" t="n">
        <f aca="false">IF(Calculator!$B$6="Yes",MIN(Q928,'Tax Tables'!$B$31*'Tax Tables'!$B$32),0)</f>
        <v>96000</v>
      </c>
      <c r="T928" s="11" t="n">
        <f aca="false">S928*Calculator!$B$7</f>
        <v>19200</v>
      </c>
      <c r="U928" s="11" t="n">
        <f aca="false">S928*Calculator!$B$8</f>
        <v>16320</v>
      </c>
      <c r="V928" s="11" t="n">
        <f aca="false">IF(Q928&gt;0,'Tax Tables'!$B$32*MIN(MAX(Q928/'Tax Tables'!$B$32*'Tax Tables'!$B$33,'Tax Tables'!$B$34),'Tax Tables'!$B$35),0)</f>
        <v>135</v>
      </c>
      <c r="W928" s="11" t="n">
        <f aca="false">Calculator!$B$5-P928-U928-V928</f>
        <v>-73955</v>
      </c>
      <c r="X928" s="11" t="n">
        <f aca="false">'Tax Tables'!$B$22*(MAX(W928,0)-IF(Calculator!$B$10="Yes",MIN(MAX(W928,0),'Tax Tables'!$B$27)*'Tax Tables'!$B$28+MIN(MAX(MAX(W928,0)-'Tax Tables'!$B$27,0),'Tax Tables'!$B$29)*'Tax Tables'!$B$30,MIN(MAX(W928,0),'Tax Tables'!$B$23)*'Tax Tables'!$B$24+MIN(MAX(MAX(W928,0)-'Tax Tables'!$B$23,0),'Tax Tables'!$B$25)*'Tax Tables'!$B$26))*1-MIN('Tax Tables'!$B$22*(MAX(W928,0)-IF(Calculator!$B$10="Yes",MIN(MAX(W928,0),'Tax Tables'!$B$27)*'Tax Tables'!$B$28+MIN(MAX(MAX(W928,0)-'Tax Tables'!$B$27,0),'Tax Tables'!$B$29)*'Tax Tables'!$B$30,MIN(MAX(W928,0),'Tax Tables'!$B$23)*'Tax Tables'!$B$24+MIN(MAX(MAX(W928,0)-'Tax Tables'!$B$23,0),'Tax Tables'!$B$25)*'Tax Tables'!$B$26))*Calculator!$B$11,Calculator!$B$12)</f>
        <v>0</v>
      </c>
      <c r="Y928" s="11" t="n">
        <f aca="false">MAX(W928,0)-X928</f>
        <v>0</v>
      </c>
      <c r="Z928" s="11" t="n">
        <f aca="false">MIN(IF(P928&gt;0,Calculator!$B$13,0)+T928+Calculator!$B$14,'Tax Tables'!$B$36)</f>
        <v>20200</v>
      </c>
      <c r="AA928" s="11" t="n">
        <f aca="false">MAX(P928-Z928,0)</f>
        <v>437300</v>
      </c>
      <c r="AB928" s="11" t="n">
        <f aca="false">SUMPRODUCT((AA928&gt;'Tax Tables'!$A$5:$A$17)*(AA928-'Tax Tables'!$A$5:$A$17)*'Tax Tables'!$C$5:$C$17)</f>
        <v>70356</v>
      </c>
      <c r="AC928" s="11" t="n">
        <f aca="false">IF(W928&lt;0,-1E+099,P928-T928-AB928+Y928+(T928+U928)*Calculator!$B$9)</f>
        <v>-1E+099</v>
      </c>
    </row>
    <row r="929" customFormat="false" ht="15" hidden="false" customHeight="false" outlineLevel="0" collapsed="false">
      <c r="A929" s="11" t="n">
        <f aca="false">916*$B$3</f>
        <v>458000</v>
      </c>
      <c r="B929" s="11" t="n">
        <f aca="false">0</f>
        <v>0</v>
      </c>
      <c r="C929" s="11" t="n">
        <f aca="false">A929-B929</f>
        <v>458000</v>
      </c>
      <c r="D929" s="11" t="n">
        <f aca="false">IF(Calculator!$B$6="Yes",MIN(B929,'Tax Tables'!$B$31*'Tax Tables'!$B$32),0)</f>
        <v>0</v>
      </c>
      <c r="E929" s="11" t="n">
        <f aca="false">D929*Calculator!$B$7</f>
        <v>0</v>
      </c>
      <c r="F929" s="11" t="n">
        <f aca="false">D929*Calculator!$B$8</f>
        <v>0</v>
      </c>
      <c r="G929" s="11" t="n">
        <f aca="false">IF(B929&gt;0,'Tax Tables'!$B$32*MIN(MAX(B929/'Tax Tables'!$B$32*'Tax Tables'!$B$33,'Tax Tables'!$B$34),'Tax Tables'!$B$35),0)</f>
        <v>0</v>
      </c>
      <c r="H929" s="11" t="n">
        <f aca="false">Calculator!$B$5-A929-F929-G929</f>
        <v>-58000</v>
      </c>
      <c r="I929" s="11" t="n">
        <f aca="false">'Tax Tables'!$B$22*(MAX(H929,0)-IF(Calculator!$B$10="Yes",MIN(MAX(H929,0),'Tax Tables'!$B$27)*'Tax Tables'!$B$28+MIN(MAX(MAX(H929,0)-'Tax Tables'!$B$27,0),'Tax Tables'!$B$29)*'Tax Tables'!$B$30,MIN(MAX(H929,0),'Tax Tables'!$B$23)*'Tax Tables'!$B$24+MIN(MAX(MAX(H929,0)-'Tax Tables'!$B$23,0),'Tax Tables'!$B$25)*'Tax Tables'!$B$26))*1-MIN('Tax Tables'!$B$22*(MAX(H929,0)-IF(Calculator!$B$10="Yes",MIN(MAX(H929,0),'Tax Tables'!$B$27)*'Tax Tables'!$B$28+MIN(MAX(MAX(H929,0)-'Tax Tables'!$B$27,0),'Tax Tables'!$B$29)*'Tax Tables'!$B$30,MIN(MAX(H929,0),'Tax Tables'!$B$23)*'Tax Tables'!$B$24+MIN(MAX(MAX(H929,0)-'Tax Tables'!$B$23,0),'Tax Tables'!$B$25)*'Tax Tables'!$B$26))*Calculator!$B$11,Calculator!$B$12)</f>
        <v>0</v>
      </c>
      <c r="J929" s="11" t="n">
        <f aca="false">MAX(H929,0)-I929</f>
        <v>0</v>
      </c>
      <c r="K929" s="11" t="n">
        <f aca="false">MIN(IF(A929&gt;0,Calculator!$B$13,0)+E929+Calculator!$B$14,'Tax Tables'!$B$36)</f>
        <v>1000</v>
      </c>
      <c r="L929" s="11" t="n">
        <f aca="false">MAX(A929-K929,0)</f>
        <v>457000</v>
      </c>
      <c r="M929" s="11" t="n">
        <f aca="false">SUMPRODUCT((L929&gt;'Tax Tables'!$A$5:$A$17)*(L929-'Tax Tables'!$A$5:$A$17)*'Tax Tables'!$C$5:$C$17)</f>
        <v>74690</v>
      </c>
      <c r="N929" s="11" t="n">
        <f aca="false">IF(H929&lt;0,-1E+099,A929-E929-M929+J929+(E929+F929)*Calculator!$B$9)</f>
        <v>-1E+099</v>
      </c>
      <c r="O929" s="2"/>
      <c r="P929" s="11" t="n">
        <f aca="false">916*$B$3</f>
        <v>458000</v>
      </c>
      <c r="Q929" s="11" t="n">
        <f aca="false">MIN(P929,'Tax Tables'!$B$31*'Tax Tables'!$B$32)</f>
        <v>96000</v>
      </c>
      <c r="R929" s="11" t="n">
        <f aca="false">P929-Q929</f>
        <v>362000</v>
      </c>
      <c r="S929" s="11" t="n">
        <f aca="false">IF(Calculator!$B$6="Yes",MIN(Q929,'Tax Tables'!$B$31*'Tax Tables'!$B$32),0)</f>
        <v>96000</v>
      </c>
      <c r="T929" s="11" t="n">
        <f aca="false">S929*Calculator!$B$7</f>
        <v>19200</v>
      </c>
      <c r="U929" s="11" t="n">
        <f aca="false">S929*Calculator!$B$8</f>
        <v>16320</v>
      </c>
      <c r="V929" s="11" t="n">
        <f aca="false">IF(Q929&gt;0,'Tax Tables'!$B$32*MIN(MAX(Q929/'Tax Tables'!$B$32*'Tax Tables'!$B$33,'Tax Tables'!$B$34),'Tax Tables'!$B$35),0)</f>
        <v>135</v>
      </c>
      <c r="W929" s="11" t="n">
        <f aca="false">Calculator!$B$5-P929-U929-V929</f>
        <v>-74455</v>
      </c>
      <c r="X929" s="11" t="n">
        <f aca="false">'Tax Tables'!$B$22*(MAX(W929,0)-IF(Calculator!$B$10="Yes",MIN(MAX(W929,0),'Tax Tables'!$B$27)*'Tax Tables'!$B$28+MIN(MAX(MAX(W929,0)-'Tax Tables'!$B$27,0),'Tax Tables'!$B$29)*'Tax Tables'!$B$30,MIN(MAX(W929,0),'Tax Tables'!$B$23)*'Tax Tables'!$B$24+MIN(MAX(MAX(W929,0)-'Tax Tables'!$B$23,0),'Tax Tables'!$B$25)*'Tax Tables'!$B$26))*1-MIN('Tax Tables'!$B$22*(MAX(W929,0)-IF(Calculator!$B$10="Yes",MIN(MAX(W929,0),'Tax Tables'!$B$27)*'Tax Tables'!$B$28+MIN(MAX(MAX(W929,0)-'Tax Tables'!$B$27,0),'Tax Tables'!$B$29)*'Tax Tables'!$B$30,MIN(MAX(W929,0),'Tax Tables'!$B$23)*'Tax Tables'!$B$24+MIN(MAX(MAX(W929,0)-'Tax Tables'!$B$23,0),'Tax Tables'!$B$25)*'Tax Tables'!$B$26))*Calculator!$B$11,Calculator!$B$12)</f>
        <v>0</v>
      </c>
      <c r="Y929" s="11" t="n">
        <f aca="false">MAX(W929,0)-X929</f>
        <v>0</v>
      </c>
      <c r="Z929" s="11" t="n">
        <f aca="false">MIN(IF(P929&gt;0,Calculator!$B$13,0)+T929+Calculator!$B$14,'Tax Tables'!$B$36)</f>
        <v>20200</v>
      </c>
      <c r="AA929" s="11" t="n">
        <f aca="false">MAX(P929-Z929,0)</f>
        <v>437800</v>
      </c>
      <c r="AB929" s="11" t="n">
        <f aca="false">SUMPRODUCT((AA929&gt;'Tax Tables'!$A$5:$A$17)*(AA929-'Tax Tables'!$A$5:$A$17)*'Tax Tables'!$C$5:$C$17)</f>
        <v>70466</v>
      </c>
      <c r="AC929" s="11" t="n">
        <f aca="false">IF(W929&lt;0,-1E+099,P929-T929-AB929+Y929+(T929+U929)*Calculator!$B$9)</f>
        <v>-1E+099</v>
      </c>
    </row>
    <row r="930" customFormat="false" ht="15" hidden="false" customHeight="false" outlineLevel="0" collapsed="false">
      <c r="A930" s="11" t="n">
        <f aca="false">917*$B$3</f>
        <v>458500</v>
      </c>
      <c r="B930" s="11" t="n">
        <f aca="false">0</f>
        <v>0</v>
      </c>
      <c r="C930" s="11" t="n">
        <f aca="false">A930-B930</f>
        <v>458500</v>
      </c>
      <c r="D930" s="11" t="n">
        <f aca="false">IF(Calculator!$B$6="Yes",MIN(B930,'Tax Tables'!$B$31*'Tax Tables'!$B$32),0)</f>
        <v>0</v>
      </c>
      <c r="E930" s="11" t="n">
        <f aca="false">D930*Calculator!$B$7</f>
        <v>0</v>
      </c>
      <c r="F930" s="11" t="n">
        <f aca="false">D930*Calculator!$B$8</f>
        <v>0</v>
      </c>
      <c r="G930" s="11" t="n">
        <f aca="false">IF(B930&gt;0,'Tax Tables'!$B$32*MIN(MAX(B930/'Tax Tables'!$B$32*'Tax Tables'!$B$33,'Tax Tables'!$B$34),'Tax Tables'!$B$35),0)</f>
        <v>0</v>
      </c>
      <c r="H930" s="11" t="n">
        <f aca="false">Calculator!$B$5-A930-F930-G930</f>
        <v>-58500</v>
      </c>
      <c r="I930" s="11" t="n">
        <f aca="false">'Tax Tables'!$B$22*(MAX(H930,0)-IF(Calculator!$B$10="Yes",MIN(MAX(H930,0),'Tax Tables'!$B$27)*'Tax Tables'!$B$28+MIN(MAX(MAX(H930,0)-'Tax Tables'!$B$27,0),'Tax Tables'!$B$29)*'Tax Tables'!$B$30,MIN(MAX(H930,0),'Tax Tables'!$B$23)*'Tax Tables'!$B$24+MIN(MAX(MAX(H930,0)-'Tax Tables'!$B$23,0),'Tax Tables'!$B$25)*'Tax Tables'!$B$26))*1-MIN('Tax Tables'!$B$22*(MAX(H930,0)-IF(Calculator!$B$10="Yes",MIN(MAX(H930,0),'Tax Tables'!$B$27)*'Tax Tables'!$B$28+MIN(MAX(MAX(H930,0)-'Tax Tables'!$B$27,0),'Tax Tables'!$B$29)*'Tax Tables'!$B$30,MIN(MAX(H930,0),'Tax Tables'!$B$23)*'Tax Tables'!$B$24+MIN(MAX(MAX(H930,0)-'Tax Tables'!$B$23,0),'Tax Tables'!$B$25)*'Tax Tables'!$B$26))*Calculator!$B$11,Calculator!$B$12)</f>
        <v>0</v>
      </c>
      <c r="J930" s="11" t="n">
        <f aca="false">MAX(H930,0)-I930</f>
        <v>0</v>
      </c>
      <c r="K930" s="11" t="n">
        <f aca="false">MIN(IF(A930&gt;0,Calculator!$B$13,0)+E930+Calculator!$B$14,'Tax Tables'!$B$36)</f>
        <v>1000</v>
      </c>
      <c r="L930" s="11" t="n">
        <f aca="false">MAX(A930-K930,0)</f>
        <v>457500</v>
      </c>
      <c r="M930" s="11" t="n">
        <f aca="false">SUMPRODUCT((L930&gt;'Tax Tables'!$A$5:$A$17)*(L930-'Tax Tables'!$A$5:$A$17)*'Tax Tables'!$C$5:$C$17)</f>
        <v>74800</v>
      </c>
      <c r="N930" s="11" t="n">
        <f aca="false">IF(H930&lt;0,-1E+099,A930-E930-M930+J930+(E930+F930)*Calculator!$B$9)</f>
        <v>-1E+099</v>
      </c>
      <c r="O930" s="2"/>
      <c r="P930" s="11" t="n">
        <f aca="false">917*$B$3</f>
        <v>458500</v>
      </c>
      <c r="Q930" s="11" t="n">
        <f aca="false">MIN(P930,'Tax Tables'!$B$31*'Tax Tables'!$B$32)</f>
        <v>96000</v>
      </c>
      <c r="R930" s="11" t="n">
        <f aca="false">P930-Q930</f>
        <v>362500</v>
      </c>
      <c r="S930" s="11" t="n">
        <f aca="false">IF(Calculator!$B$6="Yes",MIN(Q930,'Tax Tables'!$B$31*'Tax Tables'!$B$32),0)</f>
        <v>96000</v>
      </c>
      <c r="T930" s="11" t="n">
        <f aca="false">S930*Calculator!$B$7</f>
        <v>19200</v>
      </c>
      <c r="U930" s="11" t="n">
        <f aca="false">S930*Calculator!$B$8</f>
        <v>16320</v>
      </c>
      <c r="V930" s="11" t="n">
        <f aca="false">IF(Q930&gt;0,'Tax Tables'!$B$32*MIN(MAX(Q930/'Tax Tables'!$B$32*'Tax Tables'!$B$33,'Tax Tables'!$B$34),'Tax Tables'!$B$35),0)</f>
        <v>135</v>
      </c>
      <c r="W930" s="11" t="n">
        <f aca="false">Calculator!$B$5-P930-U930-V930</f>
        <v>-74955</v>
      </c>
      <c r="X930" s="11" t="n">
        <f aca="false">'Tax Tables'!$B$22*(MAX(W930,0)-IF(Calculator!$B$10="Yes",MIN(MAX(W930,0),'Tax Tables'!$B$27)*'Tax Tables'!$B$28+MIN(MAX(MAX(W930,0)-'Tax Tables'!$B$27,0),'Tax Tables'!$B$29)*'Tax Tables'!$B$30,MIN(MAX(W930,0),'Tax Tables'!$B$23)*'Tax Tables'!$B$24+MIN(MAX(MAX(W930,0)-'Tax Tables'!$B$23,0),'Tax Tables'!$B$25)*'Tax Tables'!$B$26))*1-MIN('Tax Tables'!$B$22*(MAX(W930,0)-IF(Calculator!$B$10="Yes",MIN(MAX(W930,0),'Tax Tables'!$B$27)*'Tax Tables'!$B$28+MIN(MAX(MAX(W930,0)-'Tax Tables'!$B$27,0),'Tax Tables'!$B$29)*'Tax Tables'!$B$30,MIN(MAX(W930,0),'Tax Tables'!$B$23)*'Tax Tables'!$B$24+MIN(MAX(MAX(W930,0)-'Tax Tables'!$B$23,0),'Tax Tables'!$B$25)*'Tax Tables'!$B$26))*Calculator!$B$11,Calculator!$B$12)</f>
        <v>0</v>
      </c>
      <c r="Y930" s="11" t="n">
        <f aca="false">MAX(W930,0)-X930</f>
        <v>0</v>
      </c>
      <c r="Z930" s="11" t="n">
        <f aca="false">MIN(IF(P930&gt;0,Calculator!$B$13,0)+T930+Calculator!$B$14,'Tax Tables'!$B$36)</f>
        <v>20200</v>
      </c>
      <c r="AA930" s="11" t="n">
        <f aca="false">MAX(P930-Z930,0)</f>
        <v>438300</v>
      </c>
      <c r="AB930" s="11" t="n">
        <f aca="false">SUMPRODUCT((AA930&gt;'Tax Tables'!$A$5:$A$17)*(AA930-'Tax Tables'!$A$5:$A$17)*'Tax Tables'!$C$5:$C$17)</f>
        <v>70576</v>
      </c>
      <c r="AC930" s="11" t="n">
        <f aca="false">IF(W930&lt;0,-1E+099,P930-T930-AB930+Y930+(T930+U930)*Calculator!$B$9)</f>
        <v>-1E+099</v>
      </c>
    </row>
    <row r="931" customFormat="false" ht="15" hidden="false" customHeight="false" outlineLevel="0" collapsed="false">
      <c r="A931" s="11" t="n">
        <f aca="false">918*$B$3</f>
        <v>459000</v>
      </c>
      <c r="B931" s="11" t="n">
        <f aca="false">0</f>
        <v>0</v>
      </c>
      <c r="C931" s="11" t="n">
        <f aca="false">A931-B931</f>
        <v>459000</v>
      </c>
      <c r="D931" s="11" t="n">
        <f aca="false">IF(Calculator!$B$6="Yes",MIN(B931,'Tax Tables'!$B$31*'Tax Tables'!$B$32),0)</f>
        <v>0</v>
      </c>
      <c r="E931" s="11" t="n">
        <f aca="false">D931*Calculator!$B$7</f>
        <v>0</v>
      </c>
      <c r="F931" s="11" t="n">
        <f aca="false">D931*Calculator!$B$8</f>
        <v>0</v>
      </c>
      <c r="G931" s="11" t="n">
        <f aca="false">IF(B931&gt;0,'Tax Tables'!$B$32*MIN(MAX(B931/'Tax Tables'!$B$32*'Tax Tables'!$B$33,'Tax Tables'!$B$34),'Tax Tables'!$B$35),0)</f>
        <v>0</v>
      </c>
      <c r="H931" s="11" t="n">
        <f aca="false">Calculator!$B$5-A931-F931-G931</f>
        <v>-59000</v>
      </c>
      <c r="I931" s="11" t="n">
        <f aca="false">'Tax Tables'!$B$22*(MAX(H931,0)-IF(Calculator!$B$10="Yes",MIN(MAX(H931,0),'Tax Tables'!$B$27)*'Tax Tables'!$B$28+MIN(MAX(MAX(H931,0)-'Tax Tables'!$B$27,0),'Tax Tables'!$B$29)*'Tax Tables'!$B$30,MIN(MAX(H931,0),'Tax Tables'!$B$23)*'Tax Tables'!$B$24+MIN(MAX(MAX(H931,0)-'Tax Tables'!$B$23,0),'Tax Tables'!$B$25)*'Tax Tables'!$B$26))*1-MIN('Tax Tables'!$B$22*(MAX(H931,0)-IF(Calculator!$B$10="Yes",MIN(MAX(H931,0),'Tax Tables'!$B$27)*'Tax Tables'!$B$28+MIN(MAX(MAX(H931,0)-'Tax Tables'!$B$27,0),'Tax Tables'!$B$29)*'Tax Tables'!$B$30,MIN(MAX(H931,0),'Tax Tables'!$B$23)*'Tax Tables'!$B$24+MIN(MAX(MAX(H931,0)-'Tax Tables'!$B$23,0),'Tax Tables'!$B$25)*'Tax Tables'!$B$26))*Calculator!$B$11,Calculator!$B$12)</f>
        <v>0</v>
      </c>
      <c r="J931" s="11" t="n">
        <f aca="false">MAX(H931,0)-I931</f>
        <v>0</v>
      </c>
      <c r="K931" s="11" t="n">
        <f aca="false">MIN(IF(A931&gt;0,Calculator!$B$13,0)+E931+Calculator!$B$14,'Tax Tables'!$B$36)</f>
        <v>1000</v>
      </c>
      <c r="L931" s="11" t="n">
        <f aca="false">MAX(A931-K931,0)</f>
        <v>458000</v>
      </c>
      <c r="M931" s="11" t="n">
        <f aca="false">SUMPRODUCT((L931&gt;'Tax Tables'!$A$5:$A$17)*(L931-'Tax Tables'!$A$5:$A$17)*'Tax Tables'!$C$5:$C$17)</f>
        <v>74910</v>
      </c>
      <c r="N931" s="11" t="n">
        <f aca="false">IF(H931&lt;0,-1E+099,A931-E931-M931+J931+(E931+F931)*Calculator!$B$9)</f>
        <v>-1E+099</v>
      </c>
      <c r="O931" s="2"/>
      <c r="P931" s="11" t="n">
        <f aca="false">918*$B$3</f>
        <v>459000</v>
      </c>
      <c r="Q931" s="11" t="n">
        <f aca="false">MIN(P931,'Tax Tables'!$B$31*'Tax Tables'!$B$32)</f>
        <v>96000</v>
      </c>
      <c r="R931" s="11" t="n">
        <f aca="false">P931-Q931</f>
        <v>363000</v>
      </c>
      <c r="S931" s="11" t="n">
        <f aca="false">IF(Calculator!$B$6="Yes",MIN(Q931,'Tax Tables'!$B$31*'Tax Tables'!$B$32),0)</f>
        <v>96000</v>
      </c>
      <c r="T931" s="11" t="n">
        <f aca="false">S931*Calculator!$B$7</f>
        <v>19200</v>
      </c>
      <c r="U931" s="11" t="n">
        <f aca="false">S931*Calculator!$B$8</f>
        <v>16320</v>
      </c>
      <c r="V931" s="11" t="n">
        <f aca="false">IF(Q931&gt;0,'Tax Tables'!$B$32*MIN(MAX(Q931/'Tax Tables'!$B$32*'Tax Tables'!$B$33,'Tax Tables'!$B$34),'Tax Tables'!$B$35),0)</f>
        <v>135</v>
      </c>
      <c r="W931" s="11" t="n">
        <f aca="false">Calculator!$B$5-P931-U931-V931</f>
        <v>-75455</v>
      </c>
      <c r="X931" s="11" t="n">
        <f aca="false">'Tax Tables'!$B$22*(MAX(W931,0)-IF(Calculator!$B$10="Yes",MIN(MAX(W931,0),'Tax Tables'!$B$27)*'Tax Tables'!$B$28+MIN(MAX(MAX(W931,0)-'Tax Tables'!$B$27,0),'Tax Tables'!$B$29)*'Tax Tables'!$B$30,MIN(MAX(W931,0),'Tax Tables'!$B$23)*'Tax Tables'!$B$24+MIN(MAX(MAX(W931,0)-'Tax Tables'!$B$23,0),'Tax Tables'!$B$25)*'Tax Tables'!$B$26))*1-MIN('Tax Tables'!$B$22*(MAX(W931,0)-IF(Calculator!$B$10="Yes",MIN(MAX(W931,0),'Tax Tables'!$B$27)*'Tax Tables'!$B$28+MIN(MAX(MAX(W931,0)-'Tax Tables'!$B$27,0),'Tax Tables'!$B$29)*'Tax Tables'!$B$30,MIN(MAX(W931,0),'Tax Tables'!$B$23)*'Tax Tables'!$B$24+MIN(MAX(MAX(W931,0)-'Tax Tables'!$B$23,0),'Tax Tables'!$B$25)*'Tax Tables'!$B$26))*Calculator!$B$11,Calculator!$B$12)</f>
        <v>0</v>
      </c>
      <c r="Y931" s="11" t="n">
        <f aca="false">MAX(W931,0)-X931</f>
        <v>0</v>
      </c>
      <c r="Z931" s="11" t="n">
        <f aca="false">MIN(IF(P931&gt;0,Calculator!$B$13,0)+T931+Calculator!$B$14,'Tax Tables'!$B$36)</f>
        <v>20200</v>
      </c>
      <c r="AA931" s="11" t="n">
        <f aca="false">MAX(P931-Z931,0)</f>
        <v>438800</v>
      </c>
      <c r="AB931" s="11" t="n">
        <f aca="false">SUMPRODUCT((AA931&gt;'Tax Tables'!$A$5:$A$17)*(AA931-'Tax Tables'!$A$5:$A$17)*'Tax Tables'!$C$5:$C$17)</f>
        <v>70686</v>
      </c>
      <c r="AC931" s="11" t="n">
        <f aca="false">IF(W931&lt;0,-1E+099,P931-T931-AB931+Y931+(T931+U931)*Calculator!$B$9)</f>
        <v>-1E+099</v>
      </c>
    </row>
    <row r="932" customFormat="false" ht="15" hidden="false" customHeight="false" outlineLevel="0" collapsed="false">
      <c r="A932" s="11" t="n">
        <f aca="false">919*$B$3</f>
        <v>459500</v>
      </c>
      <c r="B932" s="11" t="n">
        <f aca="false">0</f>
        <v>0</v>
      </c>
      <c r="C932" s="11" t="n">
        <f aca="false">A932-B932</f>
        <v>459500</v>
      </c>
      <c r="D932" s="11" t="n">
        <f aca="false">IF(Calculator!$B$6="Yes",MIN(B932,'Tax Tables'!$B$31*'Tax Tables'!$B$32),0)</f>
        <v>0</v>
      </c>
      <c r="E932" s="11" t="n">
        <f aca="false">D932*Calculator!$B$7</f>
        <v>0</v>
      </c>
      <c r="F932" s="11" t="n">
        <f aca="false">D932*Calculator!$B$8</f>
        <v>0</v>
      </c>
      <c r="G932" s="11" t="n">
        <f aca="false">IF(B932&gt;0,'Tax Tables'!$B$32*MIN(MAX(B932/'Tax Tables'!$B$32*'Tax Tables'!$B$33,'Tax Tables'!$B$34),'Tax Tables'!$B$35),0)</f>
        <v>0</v>
      </c>
      <c r="H932" s="11" t="n">
        <f aca="false">Calculator!$B$5-A932-F932-G932</f>
        <v>-59500</v>
      </c>
      <c r="I932" s="11" t="n">
        <f aca="false">'Tax Tables'!$B$22*(MAX(H932,0)-IF(Calculator!$B$10="Yes",MIN(MAX(H932,0),'Tax Tables'!$B$27)*'Tax Tables'!$B$28+MIN(MAX(MAX(H932,0)-'Tax Tables'!$B$27,0),'Tax Tables'!$B$29)*'Tax Tables'!$B$30,MIN(MAX(H932,0),'Tax Tables'!$B$23)*'Tax Tables'!$B$24+MIN(MAX(MAX(H932,0)-'Tax Tables'!$B$23,0),'Tax Tables'!$B$25)*'Tax Tables'!$B$26))*1-MIN('Tax Tables'!$B$22*(MAX(H932,0)-IF(Calculator!$B$10="Yes",MIN(MAX(H932,0),'Tax Tables'!$B$27)*'Tax Tables'!$B$28+MIN(MAX(MAX(H932,0)-'Tax Tables'!$B$27,0),'Tax Tables'!$B$29)*'Tax Tables'!$B$30,MIN(MAX(H932,0),'Tax Tables'!$B$23)*'Tax Tables'!$B$24+MIN(MAX(MAX(H932,0)-'Tax Tables'!$B$23,0),'Tax Tables'!$B$25)*'Tax Tables'!$B$26))*Calculator!$B$11,Calculator!$B$12)</f>
        <v>0</v>
      </c>
      <c r="J932" s="11" t="n">
        <f aca="false">MAX(H932,0)-I932</f>
        <v>0</v>
      </c>
      <c r="K932" s="11" t="n">
        <f aca="false">MIN(IF(A932&gt;0,Calculator!$B$13,0)+E932+Calculator!$B$14,'Tax Tables'!$B$36)</f>
        <v>1000</v>
      </c>
      <c r="L932" s="11" t="n">
        <f aca="false">MAX(A932-K932,0)</f>
        <v>458500</v>
      </c>
      <c r="M932" s="11" t="n">
        <f aca="false">SUMPRODUCT((L932&gt;'Tax Tables'!$A$5:$A$17)*(L932-'Tax Tables'!$A$5:$A$17)*'Tax Tables'!$C$5:$C$17)</f>
        <v>75020</v>
      </c>
      <c r="N932" s="11" t="n">
        <f aca="false">IF(H932&lt;0,-1E+099,A932-E932-M932+J932+(E932+F932)*Calculator!$B$9)</f>
        <v>-1E+099</v>
      </c>
      <c r="O932" s="2"/>
      <c r="P932" s="11" t="n">
        <f aca="false">919*$B$3</f>
        <v>459500</v>
      </c>
      <c r="Q932" s="11" t="n">
        <f aca="false">MIN(P932,'Tax Tables'!$B$31*'Tax Tables'!$B$32)</f>
        <v>96000</v>
      </c>
      <c r="R932" s="11" t="n">
        <f aca="false">P932-Q932</f>
        <v>363500</v>
      </c>
      <c r="S932" s="11" t="n">
        <f aca="false">IF(Calculator!$B$6="Yes",MIN(Q932,'Tax Tables'!$B$31*'Tax Tables'!$B$32),0)</f>
        <v>96000</v>
      </c>
      <c r="T932" s="11" t="n">
        <f aca="false">S932*Calculator!$B$7</f>
        <v>19200</v>
      </c>
      <c r="U932" s="11" t="n">
        <f aca="false">S932*Calculator!$B$8</f>
        <v>16320</v>
      </c>
      <c r="V932" s="11" t="n">
        <f aca="false">IF(Q932&gt;0,'Tax Tables'!$B$32*MIN(MAX(Q932/'Tax Tables'!$B$32*'Tax Tables'!$B$33,'Tax Tables'!$B$34),'Tax Tables'!$B$35),0)</f>
        <v>135</v>
      </c>
      <c r="W932" s="11" t="n">
        <f aca="false">Calculator!$B$5-P932-U932-V932</f>
        <v>-75955</v>
      </c>
      <c r="X932" s="11" t="n">
        <f aca="false">'Tax Tables'!$B$22*(MAX(W932,0)-IF(Calculator!$B$10="Yes",MIN(MAX(W932,0),'Tax Tables'!$B$27)*'Tax Tables'!$B$28+MIN(MAX(MAX(W932,0)-'Tax Tables'!$B$27,0),'Tax Tables'!$B$29)*'Tax Tables'!$B$30,MIN(MAX(W932,0),'Tax Tables'!$B$23)*'Tax Tables'!$B$24+MIN(MAX(MAX(W932,0)-'Tax Tables'!$B$23,0),'Tax Tables'!$B$25)*'Tax Tables'!$B$26))*1-MIN('Tax Tables'!$B$22*(MAX(W932,0)-IF(Calculator!$B$10="Yes",MIN(MAX(W932,0),'Tax Tables'!$B$27)*'Tax Tables'!$B$28+MIN(MAX(MAX(W932,0)-'Tax Tables'!$B$27,0),'Tax Tables'!$B$29)*'Tax Tables'!$B$30,MIN(MAX(W932,0),'Tax Tables'!$B$23)*'Tax Tables'!$B$24+MIN(MAX(MAX(W932,0)-'Tax Tables'!$B$23,0),'Tax Tables'!$B$25)*'Tax Tables'!$B$26))*Calculator!$B$11,Calculator!$B$12)</f>
        <v>0</v>
      </c>
      <c r="Y932" s="11" t="n">
        <f aca="false">MAX(W932,0)-X932</f>
        <v>0</v>
      </c>
      <c r="Z932" s="11" t="n">
        <f aca="false">MIN(IF(P932&gt;0,Calculator!$B$13,0)+T932+Calculator!$B$14,'Tax Tables'!$B$36)</f>
        <v>20200</v>
      </c>
      <c r="AA932" s="11" t="n">
        <f aca="false">MAX(P932-Z932,0)</f>
        <v>439300</v>
      </c>
      <c r="AB932" s="11" t="n">
        <f aca="false">SUMPRODUCT((AA932&gt;'Tax Tables'!$A$5:$A$17)*(AA932-'Tax Tables'!$A$5:$A$17)*'Tax Tables'!$C$5:$C$17)</f>
        <v>70796</v>
      </c>
      <c r="AC932" s="11" t="n">
        <f aca="false">IF(W932&lt;0,-1E+099,P932-T932-AB932+Y932+(T932+U932)*Calculator!$B$9)</f>
        <v>-1E+099</v>
      </c>
    </row>
    <row r="933" customFormat="false" ht="15" hidden="false" customHeight="false" outlineLevel="0" collapsed="false">
      <c r="A933" s="11" t="n">
        <f aca="false">920*$B$3</f>
        <v>460000</v>
      </c>
      <c r="B933" s="11" t="n">
        <f aca="false">0</f>
        <v>0</v>
      </c>
      <c r="C933" s="11" t="n">
        <f aca="false">A933-B933</f>
        <v>460000</v>
      </c>
      <c r="D933" s="11" t="n">
        <f aca="false">IF(Calculator!$B$6="Yes",MIN(B933,'Tax Tables'!$B$31*'Tax Tables'!$B$32),0)</f>
        <v>0</v>
      </c>
      <c r="E933" s="11" t="n">
        <f aca="false">D933*Calculator!$B$7</f>
        <v>0</v>
      </c>
      <c r="F933" s="11" t="n">
        <f aca="false">D933*Calculator!$B$8</f>
        <v>0</v>
      </c>
      <c r="G933" s="11" t="n">
        <f aca="false">IF(B933&gt;0,'Tax Tables'!$B$32*MIN(MAX(B933/'Tax Tables'!$B$32*'Tax Tables'!$B$33,'Tax Tables'!$B$34),'Tax Tables'!$B$35),0)</f>
        <v>0</v>
      </c>
      <c r="H933" s="11" t="n">
        <f aca="false">Calculator!$B$5-A933-F933-G933</f>
        <v>-60000</v>
      </c>
      <c r="I933" s="11" t="n">
        <f aca="false">'Tax Tables'!$B$22*(MAX(H933,0)-IF(Calculator!$B$10="Yes",MIN(MAX(H933,0),'Tax Tables'!$B$27)*'Tax Tables'!$B$28+MIN(MAX(MAX(H933,0)-'Tax Tables'!$B$27,0),'Tax Tables'!$B$29)*'Tax Tables'!$B$30,MIN(MAX(H933,0),'Tax Tables'!$B$23)*'Tax Tables'!$B$24+MIN(MAX(MAX(H933,0)-'Tax Tables'!$B$23,0),'Tax Tables'!$B$25)*'Tax Tables'!$B$26))*1-MIN('Tax Tables'!$B$22*(MAX(H933,0)-IF(Calculator!$B$10="Yes",MIN(MAX(H933,0),'Tax Tables'!$B$27)*'Tax Tables'!$B$28+MIN(MAX(MAX(H933,0)-'Tax Tables'!$B$27,0),'Tax Tables'!$B$29)*'Tax Tables'!$B$30,MIN(MAX(H933,0),'Tax Tables'!$B$23)*'Tax Tables'!$B$24+MIN(MAX(MAX(H933,0)-'Tax Tables'!$B$23,0),'Tax Tables'!$B$25)*'Tax Tables'!$B$26))*Calculator!$B$11,Calculator!$B$12)</f>
        <v>0</v>
      </c>
      <c r="J933" s="11" t="n">
        <f aca="false">MAX(H933,0)-I933</f>
        <v>0</v>
      </c>
      <c r="K933" s="11" t="n">
        <f aca="false">MIN(IF(A933&gt;0,Calculator!$B$13,0)+E933+Calculator!$B$14,'Tax Tables'!$B$36)</f>
        <v>1000</v>
      </c>
      <c r="L933" s="11" t="n">
        <f aca="false">MAX(A933-K933,0)</f>
        <v>459000</v>
      </c>
      <c r="M933" s="11" t="n">
        <f aca="false">SUMPRODUCT((L933&gt;'Tax Tables'!$A$5:$A$17)*(L933-'Tax Tables'!$A$5:$A$17)*'Tax Tables'!$C$5:$C$17)</f>
        <v>75130</v>
      </c>
      <c r="N933" s="11" t="n">
        <f aca="false">IF(H933&lt;0,-1E+099,A933-E933-M933+J933+(E933+F933)*Calculator!$B$9)</f>
        <v>-1E+099</v>
      </c>
      <c r="O933" s="2"/>
      <c r="P933" s="11" t="n">
        <f aca="false">920*$B$3</f>
        <v>460000</v>
      </c>
      <c r="Q933" s="11" t="n">
        <f aca="false">MIN(P933,'Tax Tables'!$B$31*'Tax Tables'!$B$32)</f>
        <v>96000</v>
      </c>
      <c r="R933" s="11" t="n">
        <f aca="false">P933-Q933</f>
        <v>364000</v>
      </c>
      <c r="S933" s="11" t="n">
        <f aca="false">IF(Calculator!$B$6="Yes",MIN(Q933,'Tax Tables'!$B$31*'Tax Tables'!$B$32),0)</f>
        <v>96000</v>
      </c>
      <c r="T933" s="11" t="n">
        <f aca="false">S933*Calculator!$B$7</f>
        <v>19200</v>
      </c>
      <c r="U933" s="11" t="n">
        <f aca="false">S933*Calculator!$B$8</f>
        <v>16320</v>
      </c>
      <c r="V933" s="11" t="n">
        <f aca="false">IF(Q933&gt;0,'Tax Tables'!$B$32*MIN(MAX(Q933/'Tax Tables'!$B$32*'Tax Tables'!$B$33,'Tax Tables'!$B$34),'Tax Tables'!$B$35),0)</f>
        <v>135</v>
      </c>
      <c r="W933" s="11" t="n">
        <f aca="false">Calculator!$B$5-P933-U933-V933</f>
        <v>-76455</v>
      </c>
      <c r="X933" s="11" t="n">
        <f aca="false">'Tax Tables'!$B$22*(MAX(W933,0)-IF(Calculator!$B$10="Yes",MIN(MAX(W933,0),'Tax Tables'!$B$27)*'Tax Tables'!$B$28+MIN(MAX(MAX(W933,0)-'Tax Tables'!$B$27,0),'Tax Tables'!$B$29)*'Tax Tables'!$B$30,MIN(MAX(W933,0),'Tax Tables'!$B$23)*'Tax Tables'!$B$24+MIN(MAX(MAX(W933,0)-'Tax Tables'!$B$23,0),'Tax Tables'!$B$25)*'Tax Tables'!$B$26))*1-MIN('Tax Tables'!$B$22*(MAX(W933,0)-IF(Calculator!$B$10="Yes",MIN(MAX(W933,0),'Tax Tables'!$B$27)*'Tax Tables'!$B$28+MIN(MAX(MAX(W933,0)-'Tax Tables'!$B$27,0),'Tax Tables'!$B$29)*'Tax Tables'!$B$30,MIN(MAX(W933,0),'Tax Tables'!$B$23)*'Tax Tables'!$B$24+MIN(MAX(MAX(W933,0)-'Tax Tables'!$B$23,0),'Tax Tables'!$B$25)*'Tax Tables'!$B$26))*Calculator!$B$11,Calculator!$B$12)</f>
        <v>0</v>
      </c>
      <c r="Y933" s="11" t="n">
        <f aca="false">MAX(W933,0)-X933</f>
        <v>0</v>
      </c>
      <c r="Z933" s="11" t="n">
        <f aca="false">MIN(IF(P933&gt;0,Calculator!$B$13,0)+T933+Calculator!$B$14,'Tax Tables'!$B$36)</f>
        <v>20200</v>
      </c>
      <c r="AA933" s="11" t="n">
        <f aca="false">MAX(P933-Z933,0)</f>
        <v>439800</v>
      </c>
      <c r="AB933" s="11" t="n">
        <f aca="false">SUMPRODUCT((AA933&gt;'Tax Tables'!$A$5:$A$17)*(AA933-'Tax Tables'!$A$5:$A$17)*'Tax Tables'!$C$5:$C$17)</f>
        <v>70906</v>
      </c>
      <c r="AC933" s="11" t="n">
        <f aca="false">IF(W933&lt;0,-1E+099,P933-T933-AB933+Y933+(T933+U933)*Calculator!$B$9)</f>
        <v>-1E+099</v>
      </c>
    </row>
    <row r="934" customFormat="false" ht="15" hidden="false" customHeight="false" outlineLevel="0" collapsed="false">
      <c r="A934" s="11" t="n">
        <f aca="false">921*$B$3</f>
        <v>460500</v>
      </c>
      <c r="B934" s="11" t="n">
        <f aca="false">0</f>
        <v>0</v>
      </c>
      <c r="C934" s="11" t="n">
        <f aca="false">A934-B934</f>
        <v>460500</v>
      </c>
      <c r="D934" s="11" t="n">
        <f aca="false">IF(Calculator!$B$6="Yes",MIN(B934,'Tax Tables'!$B$31*'Tax Tables'!$B$32),0)</f>
        <v>0</v>
      </c>
      <c r="E934" s="11" t="n">
        <f aca="false">D934*Calculator!$B$7</f>
        <v>0</v>
      </c>
      <c r="F934" s="11" t="n">
        <f aca="false">D934*Calculator!$B$8</f>
        <v>0</v>
      </c>
      <c r="G934" s="11" t="n">
        <f aca="false">IF(B934&gt;0,'Tax Tables'!$B$32*MIN(MAX(B934/'Tax Tables'!$B$32*'Tax Tables'!$B$33,'Tax Tables'!$B$34),'Tax Tables'!$B$35),0)</f>
        <v>0</v>
      </c>
      <c r="H934" s="11" t="n">
        <f aca="false">Calculator!$B$5-A934-F934-G934</f>
        <v>-60500</v>
      </c>
      <c r="I934" s="11" t="n">
        <f aca="false">'Tax Tables'!$B$22*(MAX(H934,0)-IF(Calculator!$B$10="Yes",MIN(MAX(H934,0),'Tax Tables'!$B$27)*'Tax Tables'!$B$28+MIN(MAX(MAX(H934,0)-'Tax Tables'!$B$27,0),'Tax Tables'!$B$29)*'Tax Tables'!$B$30,MIN(MAX(H934,0),'Tax Tables'!$B$23)*'Tax Tables'!$B$24+MIN(MAX(MAX(H934,0)-'Tax Tables'!$B$23,0),'Tax Tables'!$B$25)*'Tax Tables'!$B$26))*1-MIN('Tax Tables'!$B$22*(MAX(H934,0)-IF(Calculator!$B$10="Yes",MIN(MAX(H934,0),'Tax Tables'!$B$27)*'Tax Tables'!$B$28+MIN(MAX(MAX(H934,0)-'Tax Tables'!$B$27,0),'Tax Tables'!$B$29)*'Tax Tables'!$B$30,MIN(MAX(H934,0),'Tax Tables'!$B$23)*'Tax Tables'!$B$24+MIN(MAX(MAX(H934,0)-'Tax Tables'!$B$23,0),'Tax Tables'!$B$25)*'Tax Tables'!$B$26))*Calculator!$B$11,Calculator!$B$12)</f>
        <v>0</v>
      </c>
      <c r="J934" s="11" t="n">
        <f aca="false">MAX(H934,0)-I934</f>
        <v>0</v>
      </c>
      <c r="K934" s="11" t="n">
        <f aca="false">MIN(IF(A934&gt;0,Calculator!$B$13,0)+E934+Calculator!$B$14,'Tax Tables'!$B$36)</f>
        <v>1000</v>
      </c>
      <c r="L934" s="11" t="n">
        <f aca="false">MAX(A934-K934,0)</f>
        <v>459500</v>
      </c>
      <c r="M934" s="11" t="n">
        <f aca="false">SUMPRODUCT((L934&gt;'Tax Tables'!$A$5:$A$17)*(L934-'Tax Tables'!$A$5:$A$17)*'Tax Tables'!$C$5:$C$17)</f>
        <v>75240</v>
      </c>
      <c r="N934" s="11" t="n">
        <f aca="false">IF(H934&lt;0,-1E+099,A934-E934-M934+J934+(E934+F934)*Calculator!$B$9)</f>
        <v>-1E+099</v>
      </c>
      <c r="O934" s="2"/>
      <c r="P934" s="11" t="n">
        <f aca="false">921*$B$3</f>
        <v>460500</v>
      </c>
      <c r="Q934" s="11" t="n">
        <f aca="false">MIN(P934,'Tax Tables'!$B$31*'Tax Tables'!$B$32)</f>
        <v>96000</v>
      </c>
      <c r="R934" s="11" t="n">
        <f aca="false">P934-Q934</f>
        <v>364500</v>
      </c>
      <c r="S934" s="11" t="n">
        <f aca="false">IF(Calculator!$B$6="Yes",MIN(Q934,'Tax Tables'!$B$31*'Tax Tables'!$B$32),0)</f>
        <v>96000</v>
      </c>
      <c r="T934" s="11" t="n">
        <f aca="false">S934*Calculator!$B$7</f>
        <v>19200</v>
      </c>
      <c r="U934" s="11" t="n">
        <f aca="false">S934*Calculator!$B$8</f>
        <v>16320</v>
      </c>
      <c r="V934" s="11" t="n">
        <f aca="false">IF(Q934&gt;0,'Tax Tables'!$B$32*MIN(MAX(Q934/'Tax Tables'!$B$32*'Tax Tables'!$B$33,'Tax Tables'!$B$34),'Tax Tables'!$B$35),0)</f>
        <v>135</v>
      </c>
      <c r="W934" s="11" t="n">
        <f aca="false">Calculator!$B$5-P934-U934-V934</f>
        <v>-76955</v>
      </c>
      <c r="X934" s="11" t="n">
        <f aca="false">'Tax Tables'!$B$22*(MAX(W934,0)-IF(Calculator!$B$10="Yes",MIN(MAX(W934,0),'Tax Tables'!$B$27)*'Tax Tables'!$B$28+MIN(MAX(MAX(W934,0)-'Tax Tables'!$B$27,0),'Tax Tables'!$B$29)*'Tax Tables'!$B$30,MIN(MAX(W934,0),'Tax Tables'!$B$23)*'Tax Tables'!$B$24+MIN(MAX(MAX(W934,0)-'Tax Tables'!$B$23,0),'Tax Tables'!$B$25)*'Tax Tables'!$B$26))*1-MIN('Tax Tables'!$B$22*(MAX(W934,0)-IF(Calculator!$B$10="Yes",MIN(MAX(W934,0),'Tax Tables'!$B$27)*'Tax Tables'!$B$28+MIN(MAX(MAX(W934,0)-'Tax Tables'!$B$27,0),'Tax Tables'!$B$29)*'Tax Tables'!$B$30,MIN(MAX(W934,0),'Tax Tables'!$B$23)*'Tax Tables'!$B$24+MIN(MAX(MAX(W934,0)-'Tax Tables'!$B$23,0),'Tax Tables'!$B$25)*'Tax Tables'!$B$26))*Calculator!$B$11,Calculator!$B$12)</f>
        <v>0</v>
      </c>
      <c r="Y934" s="11" t="n">
        <f aca="false">MAX(W934,0)-X934</f>
        <v>0</v>
      </c>
      <c r="Z934" s="11" t="n">
        <f aca="false">MIN(IF(P934&gt;0,Calculator!$B$13,0)+T934+Calculator!$B$14,'Tax Tables'!$B$36)</f>
        <v>20200</v>
      </c>
      <c r="AA934" s="11" t="n">
        <f aca="false">MAX(P934-Z934,0)</f>
        <v>440300</v>
      </c>
      <c r="AB934" s="11" t="n">
        <f aca="false">SUMPRODUCT((AA934&gt;'Tax Tables'!$A$5:$A$17)*(AA934-'Tax Tables'!$A$5:$A$17)*'Tax Tables'!$C$5:$C$17)</f>
        <v>71016</v>
      </c>
      <c r="AC934" s="11" t="n">
        <f aca="false">IF(W934&lt;0,-1E+099,P934-T934-AB934+Y934+(T934+U934)*Calculator!$B$9)</f>
        <v>-1E+099</v>
      </c>
    </row>
    <row r="935" customFormat="false" ht="15" hidden="false" customHeight="false" outlineLevel="0" collapsed="false">
      <c r="A935" s="11" t="n">
        <f aca="false">922*$B$3</f>
        <v>461000</v>
      </c>
      <c r="B935" s="11" t="n">
        <f aca="false">0</f>
        <v>0</v>
      </c>
      <c r="C935" s="11" t="n">
        <f aca="false">A935-B935</f>
        <v>461000</v>
      </c>
      <c r="D935" s="11" t="n">
        <f aca="false">IF(Calculator!$B$6="Yes",MIN(B935,'Tax Tables'!$B$31*'Tax Tables'!$B$32),0)</f>
        <v>0</v>
      </c>
      <c r="E935" s="11" t="n">
        <f aca="false">D935*Calculator!$B$7</f>
        <v>0</v>
      </c>
      <c r="F935" s="11" t="n">
        <f aca="false">D935*Calculator!$B$8</f>
        <v>0</v>
      </c>
      <c r="G935" s="11" t="n">
        <f aca="false">IF(B935&gt;0,'Tax Tables'!$B$32*MIN(MAX(B935/'Tax Tables'!$B$32*'Tax Tables'!$B$33,'Tax Tables'!$B$34),'Tax Tables'!$B$35),0)</f>
        <v>0</v>
      </c>
      <c r="H935" s="11" t="n">
        <f aca="false">Calculator!$B$5-A935-F935-G935</f>
        <v>-61000</v>
      </c>
      <c r="I935" s="11" t="n">
        <f aca="false">'Tax Tables'!$B$22*(MAX(H935,0)-IF(Calculator!$B$10="Yes",MIN(MAX(H935,0),'Tax Tables'!$B$27)*'Tax Tables'!$B$28+MIN(MAX(MAX(H935,0)-'Tax Tables'!$B$27,0),'Tax Tables'!$B$29)*'Tax Tables'!$B$30,MIN(MAX(H935,0),'Tax Tables'!$B$23)*'Tax Tables'!$B$24+MIN(MAX(MAX(H935,0)-'Tax Tables'!$B$23,0),'Tax Tables'!$B$25)*'Tax Tables'!$B$26))*1-MIN('Tax Tables'!$B$22*(MAX(H935,0)-IF(Calculator!$B$10="Yes",MIN(MAX(H935,0),'Tax Tables'!$B$27)*'Tax Tables'!$B$28+MIN(MAX(MAX(H935,0)-'Tax Tables'!$B$27,0),'Tax Tables'!$B$29)*'Tax Tables'!$B$30,MIN(MAX(H935,0),'Tax Tables'!$B$23)*'Tax Tables'!$B$24+MIN(MAX(MAX(H935,0)-'Tax Tables'!$B$23,0),'Tax Tables'!$B$25)*'Tax Tables'!$B$26))*Calculator!$B$11,Calculator!$B$12)</f>
        <v>0</v>
      </c>
      <c r="J935" s="11" t="n">
        <f aca="false">MAX(H935,0)-I935</f>
        <v>0</v>
      </c>
      <c r="K935" s="11" t="n">
        <f aca="false">MIN(IF(A935&gt;0,Calculator!$B$13,0)+E935+Calculator!$B$14,'Tax Tables'!$B$36)</f>
        <v>1000</v>
      </c>
      <c r="L935" s="11" t="n">
        <f aca="false">MAX(A935-K935,0)</f>
        <v>460000</v>
      </c>
      <c r="M935" s="11" t="n">
        <f aca="false">SUMPRODUCT((L935&gt;'Tax Tables'!$A$5:$A$17)*(L935-'Tax Tables'!$A$5:$A$17)*'Tax Tables'!$C$5:$C$17)</f>
        <v>75350</v>
      </c>
      <c r="N935" s="11" t="n">
        <f aca="false">IF(H935&lt;0,-1E+099,A935-E935-M935+J935+(E935+F935)*Calculator!$B$9)</f>
        <v>-1E+099</v>
      </c>
      <c r="O935" s="2"/>
      <c r="P935" s="11" t="n">
        <f aca="false">922*$B$3</f>
        <v>461000</v>
      </c>
      <c r="Q935" s="11" t="n">
        <f aca="false">MIN(P935,'Tax Tables'!$B$31*'Tax Tables'!$B$32)</f>
        <v>96000</v>
      </c>
      <c r="R935" s="11" t="n">
        <f aca="false">P935-Q935</f>
        <v>365000</v>
      </c>
      <c r="S935" s="11" t="n">
        <f aca="false">IF(Calculator!$B$6="Yes",MIN(Q935,'Tax Tables'!$B$31*'Tax Tables'!$B$32),0)</f>
        <v>96000</v>
      </c>
      <c r="T935" s="11" t="n">
        <f aca="false">S935*Calculator!$B$7</f>
        <v>19200</v>
      </c>
      <c r="U935" s="11" t="n">
        <f aca="false">S935*Calculator!$B$8</f>
        <v>16320</v>
      </c>
      <c r="V935" s="11" t="n">
        <f aca="false">IF(Q935&gt;0,'Tax Tables'!$B$32*MIN(MAX(Q935/'Tax Tables'!$B$32*'Tax Tables'!$B$33,'Tax Tables'!$B$34),'Tax Tables'!$B$35),0)</f>
        <v>135</v>
      </c>
      <c r="W935" s="11" t="n">
        <f aca="false">Calculator!$B$5-P935-U935-V935</f>
        <v>-77455</v>
      </c>
      <c r="X935" s="11" t="n">
        <f aca="false">'Tax Tables'!$B$22*(MAX(W935,0)-IF(Calculator!$B$10="Yes",MIN(MAX(W935,0),'Tax Tables'!$B$27)*'Tax Tables'!$B$28+MIN(MAX(MAX(W935,0)-'Tax Tables'!$B$27,0),'Tax Tables'!$B$29)*'Tax Tables'!$B$30,MIN(MAX(W935,0),'Tax Tables'!$B$23)*'Tax Tables'!$B$24+MIN(MAX(MAX(W935,0)-'Tax Tables'!$B$23,0),'Tax Tables'!$B$25)*'Tax Tables'!$B$26))*1-MIN('Tax Tables'!$B$22*(MAX(W935,0)-IF(Calculator!$B$10="Yes",MIN(MAX(W935,0),'Tax Tables'!$B$27)*'Tax Tables'!$B$28+MIN(MAX(MAX(W935,0)-'Tax Tables'!$B$27,0),'Tax Tables'!$B$29)*'Tax Tables'!$B$30,MIN(MAX(W935,0),'Tax Tables'!$B$23)*'Tax Tables'!$B$24+MIN(MAX(MAX(W935,0)-'Tax Tables'!$B$23,0),'Tax Tables'!$B$25)*'Tax Tables'!$B$26))*Calculator!$B$11,Calculator!$B$12)</f>
        <v>0</v>
      </c>
      <c r="Y935" s="11" t="n">
        <f aca="false">MAX(W935,0)-X935</f>
        <v>0</v>
      </c>
      <c r="Z935" s="11" t="n">
        <f aca="false">MIN(IF(P935&gt;0,Calculator!$B$13,0)+T935+Calculator!$B$14,'Tax Tables'!$B$36)</f>
        <v>20200</v>
      </c>
      <c r="AA935" s="11" t="n">
        <f aca="false">MAX(P935-Z935,0)</f>
        <v>440800</v>
      </c>
      <c r="AB935" s="11" t="n">
        <f aca="false">SUMPRODUCT((AA935&gt;'Tax Tables'!$A$5:$A$17)*(AA935-'Tax Tables'!$A$5:$A$17)*'Tax Tables'!$C$5:$C$17)</f>
        <v>71126</v>
      </c>
      <c r="AC935" s="11" t="n">
        <f aca="false">IF(W935&lt;0,-1E+099,P935-T935-AB935+Y935+(T935+U935)*Calculator!$B$9)</f>
        <v>-1E+099</v>
      </c>
    </row>
    <row r="936" customFormat="false" ht="15" hidden="false" customHeight="false" outlineLevel="0" collapsed="false">
      <c r="A936" s="11" t="n">
        <f aca="false">923*$B$3</f>
        <v>461500</v>
      </c>
      <c r="B936" s="11" t="n">
        <f aca="false">0</f>
        <v>0</v>
      </c>
      <c r="C936" s="11" t="n">
        <f aca="false">A936-B936</f>
        <v>461500</v>
      </c>
      <c r="D936" s="11" t="n">
        <f aca="false">IF(Calculator!$B$6="Yes",MIN(B936,'Tax Tables'!$B$31*'Tax Tables'!$B$32),0)</f>
        <v>0</v>
      </c>
      <c r="E936" s="11" t="n">
        <f aca="false">D936*Calculator!$B$7</f>
        <v>0</v>
      </c>
      <c r="F936" s="11" t="n">
        <f aca="false">D936*Calculator!$B$8</f>
        <v>0</v>
      </c>
      <c r="G936" s="11" t="n">
        <f aca="false">IF(B936&gt;0,'Tax Tables'!$B$32*MIN(MAX(B936/'Tax Tables'!$B$32*'Tax Tables'!$B$33,'Tax Tables'!$B$34),'Tax Tables'!$B$35),0)</f>
        <v>0</v>
      </c>
      <c r="H936" s="11" t="n">
        <f aca="false">Calculator!$B$5-A936-F936-G936</f>
        <v>-61500</v>
      </c>
      <c r="I936" s="11" t="n">
        <f aca="false">'Tax Tables'!$B$22*(MAX(H936,0)-IF(Calculator!$B$10="Yes",MIN(MAX(H936,0),'Tax Tables'!$B$27)*'Tax Tables'!$B$28+MIN(MAX(MAX(H936,0)-'Tax Tables'!$B$27,0),'Tax Tables'!$B$29)*'Tax Tables'!$B$30,MIN(MAX(H936,0),'Tax Tables'!$B$23)*'Tax Tables'!$B$24+MIN(MAX(MAX(H936,0)-'Tax Tables'!$B$23,0),'Tax Tables'!$B$25)*'Tax Tables'!$B$26))*1-MIN('Tax Tables'!$B$22*(MAX(H936,0)-IF(Calculator!$B$10="Yes",MIN(MAX(H936,0),'Tax Tables'!$B$27)*'Tax Tables'!$B$28+MIN(MAX(MAX(H936,0)-'Tax Tables'!$B$27,0),'Tax Tables'!$B$29)*'Tax Tables'!$B$30,MIN(MAX(H936,0),'Tax Tables'!$B$23)*'Tax Tables'!$B$24+MIN(MAX(MAX(H936,0)-'Tax Tables'!$B$23,0),'Tax Tables'!$B$25)*'Tax Tables'!$B$26))*Calculator!$B$11,Calculator!$B$12)</f>
        <v>0</v>
      </c>
      <c r="J936" s="11" t="n">
        <f aca="false">MAX(H936,0)-I936</f>
        <v>0</v>
      </c>
      <c r="K936" s="11" t="n">
        <f aca="false">MIN(IF(A936&gt;0,Calculator!$B$13,0)+E936+Calculator!$B$14,'Tax Tables'!$B$36)</f>
        <v>1000</v>
      </c>
      <c r="L936" s="11" t="n">
        <f aca="false">MAX(A936-K936,0)</f>
        <v>460500</v>
      </c>
      <c r="M936" s="11" t="n">
        <f aca="false">SUMPRODUCT((L936&gt;'Tax Tables'!$A$5:$A$17)*(L936-'Tax Tables'!$A$5:$A$17)*'Tax Tables'!$C$5:$C$17)</f>
        <v>75460</v>
      </c>
      <c r="N936" s="11" t="n">
        <f aca="false">IF(H936&lt;0,-1E+099,A936-E936-M936+J936+(E936+F936)*Calculator!$B$9)</f>
        <v>-1E+099</v>
      </c>
      <c r="O936" s="2"/>
      <c r="P936" s="11" t="n">
        <f aca="false">923*$B$3</f>
        <v>461500</v>
      </c>
      <c r="Q936" s="11" t="n">
        <f aca="false">MIN(P936,'Tax Tables'!$B$31*'Tax Tables'!$B$32)</f>
        <v>96000</v>
      </c>
      <c r="R936" s="11" t="n">
        <f aca="false">P936-Q936</f>
        <v>365500</v>
      </c>
      <c r="S936" s="11" t="n">
        <f aca="false">IF(Calculator!$B$6="Yes",MIN(Q936,'Tax Tables'!$B$31*'Tax Tables'!$B$32),0)</f>
        <v>96000</v>
      </c>
      <c r="T936" s="11" t="n">
        <f aca="false">S936*Calculator!$B$7</f>
        <v>19200</v>
      </c>
      <c r="U936" s="11" t="n">
        <f aca="false">S936*Calculator!$B$8</f>
        <v>16320</v>
      </c>
      <c r="V936" s="11" t="n">
        <f aca="false">IF(Q936&gt;0,'Tax Tables'!$B$32*MIN(MAX(Q936/'Tax Tables'!$B$32*'Tax Tables'!$B$33,'Tax Tables'!$B$34),'Tax Tables'!$B$35),0)</f>
        <v>135</v>
      </c>
      <c r="W936" s="11" t="n">
        <f aca="false">Calculator!$B$5-P936-U936-V936</f>
        <v>-77955</v>
      </c>
      <c r="X936" s="11" t="n">
        <f aca="false">'Tax Tables'!$B$22*(MAX(W936,0)-IF(Calculator!$B$10="Yes",MIN(MAX(W936,0),'Tax Tables'!$B$27)*'Tax Tables'!$B$28+MIN(MAX(MAX(W936,0)-'Tax Tables'!$B$27,0),'Tax Tables'!$B$29)*'Tax Tables'!$B$30,MIN(MAX(W936,0),'Tax Tables'!$B$23)*'Tax Tables'!$B$24+MIN(MAX(MAX(W936,0)-'Tax Tables'!$B$23,0),'Tax Tables'!$B$25)*'Tax Tables'!$B$26))*1-MIN('Tax Tables'!$B$22*(MAX(W936,0)-IF(Calculator!$B$10="Yes",MIN(MAX(W936,0),'Tax Tables'!$B$27)*'Tax Tables'!$B$28+MIN(MAX(MAX(W936,0)-'Tax Tables'!$B$27,0),'Tax Tables'!$B$29)*'Tax Tables'!$B$30,MIN(MAX(W936,0),'Tax Tables'!$B$23)*'Tax Tables'!$B$24+MIN(MAX(MAX(W936,0)-'Tax Tables'!$B$23,0),'Tax Tables'!$B$25)*'Tax Tables'!$B$26))*Calculator!$B$11,Calculator!$B$12)</f>
        <v>0</v>
      </c>
      <c r="Y936" s="11" t="n">
        <f aca="false">MAX(W936,0)-X936</f>
        <v>0</v>
      </c>
      <c r="Z936" s="11" t="n">
        <f aca="false">MIN(IF(P936&gt;0,Calculator!$B$13,0)+T936+Calculator!$B$14,'Tax Tables'!$B$36)</f>
        <v>20200</v>
      </c>
      <c r="AA936" s="11" t="n">
        <f aca="false">MAX(P936-Z936,0)</f>
        <v>441300</v>
      </c>
      <c r="AB936" s="11" t="n">
        <f aca="false">SUMPRODUCT((AA936&gt;'Tax Tables'!$A$5:$A$17)*(AA936-'Tax Tables'!$A$5:$A$17)*'Tax Tables'!$C$5:$C$17)</f>
        <v>71236</v>
      </c>
      <c r="AC936" s="11" t="n">
        <f aca="false">IF(W936&lt;0,-1E+099,P936-T936-AB936+Y936+(T936+U936)*Calculator!$B$9)</f>
        <v>-1E+099</v>
      </c>
    </row>
    <row r="937" customFormat="false" ht="15" hidden="false" customHeight="false" outlineLevel="0" collapsed="false">
      <c r="A937" s="11" t="n">
        <f aca="false">924*$B$3</f>
        <v>462000</v>
      </c>
      <c r="B937" s="11" t="n">
        <f aca="false">0</f>
        <v>0</v>
      </c>
      <c r="C937" s="11" t="n">
        <f aca="false">A937-B937</f>
        <v>462000</v>
      </c>
      <c r="D937" s="11" t="n">
        <f aca="false">IF(Calculator!$B$6="Yes",MIN(B937,'Tax Tables'!$B$31*'Tax Tables'!$B$32),0)</f>
        <v>0</v>
      </c>
      <c r="E937" s="11" t="n">
        <f aca="false">D937*Calculator!$B$7</f>
        <v>0</v>
      </c>
      <c r="F937" s="11" t="n">
        <f aca="false">D937*Calculator!$B$8</f>
        <v>0</v>
      </c>
      <c r="G937" s="11" t="n">
        <f aca="false">IF(B937&gt;0,'Tax Tables'!$B$32*MIN(MAX(B937/'Tax Tables'!$B$32*'Tax Tables'!$B$33,'Tax Tables'!$B$34),'Tax Tables'!$B$35),0)</f>
        <v>0</v>
      </c>
      <c r="H937" s="11" t="n">
        <f aca="false">Calculator!$B$5-A937-F937-G937</f>
        <v>-62000</v>
      </c>
      <c r="I937" s="11" t="n">
        <f aca="false">'Tax Tables'!$B$22*(MAX(H937,0)-IF(Calculator!$B$10="Yes",MIN(MAX(H937,0),'Tax Tables'!$B$27)*'Tax Tables'!$B$28+MIN(MAX(MAX(H937,0)-'Tax Tables'!$B$27,0),'Tax Tables'!$B$29)*'Tax Tables'!$B$30,MIN(MAX(H937,0),'Tax Tables'!$B$23)*'Tax Tables'!$B$24+MIN(MAX(MAX(H937,0)-'Tax Tables'!$B$23,0),'Tax Tables'!$B$25)*'Tax Tables'!$B$26))*1-MIN('Tax Tables'!$B$22*(MAX(H937,0)-IF(Calculator!$B$10="Yes",MIN(MAX(H937,0),'Tax Tables'!$B$27)*'Tax Tables'!$B$28+MIN(MAX(MAX(H937,0)-'Tax Tables'!$B$27,0),'Tax Tables'!$B$29)*'Tax Tables'!$B$30,MIN(MAX(H937,0),'Tax Tables'!$B$23)*'Tax Tables'!$B$24+MIN(MAX(MAX(H937,0)-'Tax Tables'!$B$23,0),'Tax Tables'!$B$25)*'Tax Tables'!$B$26))*Calculator!$B$11,Calculator!$B$12)</f>
        <v>0</v>
      </c>
      <c r="J937" s="11" t="n">
        <f aca="false">MAX(H937,0)-I937</f>
        <v>0</v>
      </c>
      <c r="K937" s="11" t="n">
        <f aca="false">MIN(IF(A937&gt;0,Calculator!$B$13,0)+E937+Calculator!$B$14,'Tax Tables'!$B$36)</f>
        <v>1000</v>
      </c>
      <c r="L937" s="11" t="n">
        <f aca="false">MAX(A937-K937,0)</f>
        <v>461000</v>
      </c>
      <c r="M937" s="11" t="n">
        <f aca="false">SUMPRODUCT((L937&gt;'Tax Tables'!$A$5:$A$17)*(L937-'Tax Tables'!$A$5:$A$17)*'Tax Tables'!$C$5:$C$17)</f>
        <v>75570</v>
      </c>
      <c r="N937" s="11" t="n">
        <f aca="false">IF(H937&lt;0,-1E+099,A937-E937-M937+J937+(E937+F937)*Calculator!$B$9)</f>
        <v>-1E+099</v>
      </c>
      <c r="O937" s="2"/>
      <c r="P937" s="11" t="n">
        <f aca="false">924*$B$3</f>
        <v>462000</v>
      </c>
      <c r="Q937" s="11" t="n">
        <f aca="false">MIN(P937,'Tax Tables'!$B$31*'Tax Tables'!$B$32)</f>
        <v>96000</v>
      </c>
      <c r="R937" s="11" t="n">
        <f aca="false">P937-Q937</f>
        <v>366000</v>
      </c>
      <c r="S937" s="11" t="n">
        <f aca="false">IF(Calculator!$B$6="Yes",MIN(Q937,'Tax Tables'!$B$31*'Tax Tables'!$B$32),0)</f>
        <v>96000</v>
      </c>
      <c r="T937" s="11" t="n">
        <f aca="false">S937*Calculator!$B$7</f>
        <v>19200</v>
      </c>
      <c r="U937" s="11" t="n">
        <f aca="false">S937*Calculator!$B$8</f>
        <v>16320</v>
      </c>
      <c r="V937" s="11" t="n">
        <f aca="false">IF(Q937&gt;0,'Tax Tables'!$B$32*MIN(MAX(Q937/'Tax Tables'!$B$32*'Tax Tables'!$B$33,'Tax Tables'!$B$34),'Tax Tables'!$B$35),0)</f>
        <v>135</v>
      </c>
      <c r="W937" s="11" t="n">
        <f aca="false">Calculator!$B$5-P937-U937-V937</f>
        <v>-78455</v>
      </c>
      <c r="X937" s="11" t="n">
        <f aca="false">'Tax Tables'!$B$22*(MAX(W937,0)-IF(Calculator!$B$10="Yes",MIN(MAX(W937,0),'Tax Tables'!$B$27)*'Tax Tables'!$B$28+MIN(MAX(MAX(W937,0)-'Tax Tables'!$B$27,0),'Tax Tables'!$B$29)*'Tax Tables'!$B$30,MIN(MAX(W937,0),'Tax Tables'!$B$23)*'Tax Tables'!$B$24+MIN(MAX(MAX(W937,0)-'Tax Tables'!$B$23,0),'Tax Tables'!$B$25)*'Tax Tables'!$B$26))*1-MIN('Tax Tables'!$B$22*(MAX(W937,0)-IF(Calculator!$B$10="Yes",MIN(MAX(W937,0),'Tax Tables'!$B$27)*'Tax Tables'!$B$28+MIN(MAX(MAX(W937,0)-'Tax Tables'!$B$27,0),'Tax Tables'!$B$29)*'Tax Tables'!$B$30,MIN(MAX(W937,0),'Tax Tables'!$B$23)*'Tax Tables'!$B$24+MIN(MAX(MAX(W937,0)-'Tax Tables'!$B$23,0),'Tax Tables'!$B$25)*'Tax Tables'!$B$26))*Calculator!$B$11,Calculator!$B$12)</f>
        <v>0</v>
      </c>
      <c r="Y937" s="11" t="n">
        <f aca="false">MAX(W937,0)-X937</f>
        <v>0</v>
      </c>
      <c r="Z937" s="11" t="n">
        <f aca="false">MIN(IF(P937&gt;0,Calculator!$B$13,0)+T937+Calculator!$B$14,'Tax Tables'!$B$36)</f>
        <v>20200</v>
      </c>
      <c r="AA937" s="11" t="n">
        <f aca="false">MAX(P937-Z937,0)</f>
        <v>441800</v>
      </c>
      <c r="AB937" s="11" t="n">
        <f aca="false">SUMPRODUCT((AA937&gt;'Tax Tables'!$A$5:$A$17)*(AA937-'Tax Tables'!$A$5:$A$17)*'Tax Tables'!$C$5:$C$17)</f>
        <v>71346</v>
      </c>
      <c r="AC937" s="11" t="n">
        <f aca="false">IF(W937&lt;0,-1E+099,P937-T937-AB937+Y937+(T937+U937)*Calculator!$B$9)</f>
        <v>-1E+099</v>
      </c>
    </row>
    <row r="938" customFormat="false" ht="15" hidden="false" customHeight="false" outlineLevel="0" collapsed="false">
      <c r="A938" s="11" t="n">
        <f aca="false">925*$B$3</f>
        <v>462500</v>
      </c>
      <c r="B938" s="11" t="n">
        <f aca="false">0</f>
        <v>0</v>
      </c>
      <c r="C938" s="11" t="n">
        <f aca="false">A938-B938</f>
        <v>462500</v>
      </c>
      <c r="D938" s="11" t="n">
        <f aca="false">IF(Calculator!$B$6="Yes",MIN(B938,'Tax Tables'!$B$31*'Tax Tables'!$B$32),0)</f>
        <v>0</v>
      </c>
      <c r="E938" s="11" t="n">
        <f aca="false">D938*Calculator!$B$7</f>
        <v>0</v>
      </c>
      <c r="F938" s="11" t="n">
        <f aca="false">D938*Calculator!$B$8</f>
        <v>0</v>
      </c>
      <c r="G938" s="11" t="n">
        <f aca="false">IF(B938&gt;0,'Tax Tables'!$B$32*MIN(MAX(B938/'Tax Tables'!$B$32*'Tax Tables'!$B$33,'Tax Tables'!$B$34),'Tax Tables'!$B$35),0)</f>
        <v>0</v>
      </c>
      <c r="H938" s="11" t="n">
        <f aca="false">Calculator!$B$5-A938-F938-G938</f>
        <v>-62500</v>
      </c>
      <c r="I938" s="11" t="n">
        <f aca="false">'Tax Tables'!$B$22*(MAX(H938,0)-IF(Calculator!$B$10="Yes",MIN(MAX(H938,0),'Tax Tables'!$B$27)*'Tax Tables'!$B$28+MIN(MAX(MAX(H938,0)-'Tax Tables'!$B$27,0),'Tax Tables'!$B$29)*'Tax Tables'!$B$30,MIN(MAX(H938,0),'Tax Tables'!$B$23)*'Tax Tables'!$B$24+MIN(MAX(MAX(H938,0)-'Tax Tables'!$B$23,0),'Tax Tables'!$B$25)*'Tax Tables'!$B$26))*1-MIN('Tax Tables'!$B$22*(MAX(H938,0)-IF(Calculator!$B$10="Yes",MIN(MAX(H938,0),'Tax Tables'!$B$27)*'Tax Tables'!$B$28+MIN(MAX(MAX(H938,0)-'Tax Tables'!$B$27,0),'Tax Tables'!$B$29)*'Tax Tables'!$B$30,MIN(MAX(H938,0),'Tax Tables'!$B$23)*'Tax Tables'!$B$24+MIN(MAX(MAX(H938,0)-'Tax Tables'!$B$23,0),'Tax Tables'!$B$25)*'Tax Tables'!$B$26))*Calculator!$B$11,Calculator!$B$12)</f>
        <v>0</v>
      </c>
      <c r="J938" s="11" t="n">
        <f aca="false">MAX(H938,0)-I938</f>
        <v>0</v>
      </c>
      <c r="K938" s="11" t="n">
        <f aca="false">MIN(IF(A938&gt;0,Calculator!$B$13,0)+E938+Calculator!$B$14,'Tax Tables'!$B$36)</f>
        <v>1000</v>
      </c>
      <c r="L938" s="11" t="n">
        <f aca="false">MAX(A938-K938,0)</f>
        <v>461500</v>
      </c>
      <c r="M938" s="11" t="n">
        <f aca="false">SUMPRODUCT((L938&gt;'Tax Tables'!$A$5:$A$17)*(L938-'Tax Tables'!$A$5:$A$17)*'Tax Tables'!$C$5:$C$17)</f>
        <v>75680</v>
      </c>
      <c r="N938" s="11" t="n">
        <f aca="false">IF(H938&lt;0,-1E+099,A938-E938-M938+J938+(E938+F938)*Calculator!$B$9)</f>
        <v>-1E+099</v>
      </c>
      <c r="O938" s="2"/>
      <c r="P938" s="11" t="n">
        <f aca="false">925*$B$3</f>
        <v>462500</v>
      </c>
      <c r="Q938" s="11" t="n">
        <f aca="false">MIN(P938,'Tax Tables'!$B$31*'Tax Tables'!$B$32)</f>
        <v>96000</v>
      </c>
      <c r="R938" s="11" t="n">
        <f aca="false">P938-Q938</f>
        <v>366500</v>
      </c>
      <c r="S938" s="11" t="n">
        <f aca="false">IF(Calculator!$B$6="Yes",MIN(Q938,'Tax Tables'!$B$31*'Tax Tables'!$B$32),0)</f>
        <v>96000</v>
      </c>
      <c r="T938" s="11" t="n">
        <f aca="false">S938*Calculator!$B$7</f>
        <v>19200</v>
      </c>
      <c r="U938" s="11" t="n">
        <f aca="false">S938*Calculator!$B$8</f>
        <v>16320</v>
      </c>
      <c r="V938" s="11" t="n">
        <f aca="false">IF(Q938&gt;0,'Tax Tables'!$B$32*MIN(MAX(Q938/'Tax Tables'!$B$32*'Tax Tables'!$B$33,'Tax Tables'!$B$34),'Tax Tables'!$B$35),0)</f>
        <v>135</v>
      </c>
      <c r="W938" s="11" t="n">
        <f aca="false">Calculator!$B$5-P938-U938-V938</f>
        <v>-78955</v>
      </c>
      <c r="X938" s="11" t="n">
        <f aca="false">'Tax Tables'!$B$22*(MAX(W938,0)-IF(Calculator!$B$10="Yes",MIN(MAX(W938,0),'Tax Tables'!$B$27)*'Tax Tables'!$B$28+MIN(MAX(MAX(W938,0)-'Tax Tables'!$B$27,0),'Tax Tables'!$B$29)*'Tax Tables'!$B$30,MIN(MAX(W938,0),'Tax Tables'!$B$23)*'Tax Tables'!$B$24+MIN(MAX(MAX(W938,0)-'Tax Tables'!$B$23,0),'Tax Tables'!$B$25)*'Tax Tables'!$B$26))*1-MIN('Tax Tables'!$B$22*(MAX(W938,0)-IF(Calculator!$B$10="Yes",MIN(MAX(W938,0),'Tax Tables'!$B$27)*'Tax Tables'!$B$28+MIN(MAX(MAX(W938,0)-'Tax Tables'!$B$27,0),'Tax Tables'!$B$29)*'Tax Tables'!$B$30,MIN(MAX(W938,0),'Tax Tables'!$B$23)*'Tax Tables'!$B$24+MIN(MAX(MAX(W938,0)-'Tax Tables'!$B$23,0),'Tax Tables'!$B$25)*'Tax Tables'!$B$26))*Calculator!$B$11,Calculator!$B$12)</f>
        <v>0</v>
      </c>
      <c r="Y938" s="11" t="n">
        <f aca="false">MAX(W938,0)-X938</f>
        <v>0</v>
      </c>
      <c r="Z938" s="11" t="n">
        <f aca="false">MIN(IF(P938&gt;0,Calculator!$B$13,0)+T938+Calculator!$B$14,'Tax Tables'!$B$36)</f>
        <v>20200</v>
      </c>
      <c r="AA938" s="11" t="n">
        <f aca="false">MAX(P938-Z938,0)</f>
        <v>442300</v>
      </c>
      <c r="AB938" s="11" t="n">
        <f aca="false">SUMPRODUCT((AA938&gt;'Tax Tables'!$A$5:$A$17)*(AA938-'Tax Tables'!$A$5:$A$17)*'Tax Tables'!$C$5:$C$17)</f>
        <v>71456</v>
      </c>
      <c r="AC938" s="11" t="n">
        <f aca="false">IF(W938&lt;0,-1E+099,P938-T938-AB938+Y938+(T938+U938)*Calculator!$B$9)</f>
        <v>-1E+099</v>
      </c>
    </row>
    <row r="939" customFormat="false" ht="15" hidden="false" customHeight="false" outlineLevel="0" collapsed="false">
      <c r="A939" s="11" t="n">
        <f aca="false">926*$B$3</f>
        <v>463000</v>
      </c>
      <c r="B939" s="11" t="n">
        <f aca="false">0</f>
        <v>0</v>
      </c>
      <c r="C939" s="11" t="n">
        <f aca="false">A939-B939</f>
        <v>463000</v>
      </c>
      <c r="D939" s="11" t="n">
        <f aca="false">IF(Calculator!$B$6="Yes",MIN(B939,'Tax Tables'!$B$31*'Tax Tables'!$B$32),0)</f>
        <v>0</v>
      </c>
      <c r="E939" s="11" t="n">
        <f aca="false">D939*Calculator!$B$7</f>
        <v>0</v>
      </c>
      <c r="F939" s="11" t="n">
        <f aca="false">D939*Calculator!$B$8</f>
        <v>0</v>
      </c>
      <c r="G939" s="11" t="n">
        <f aca="false">IF(B939&gt;0,'Tax Tables'!$B$32*MIN(MAX(B939/'Tax Tables'!$B$32*'Tax Tables'!$B$33,'Tax Tables'!$B$34),'Tax Tables'!$B$35),0)</f>
        <v>0</v>
      </c>
      <c r="H939" s="11" t="n">
        <f aca="false">Calculator!$B$5-A939-F939-G939</f>
        <v>-63000</v>
      </c>
      <c r="I939" s="11" t="n">
        <f aca="false">'Tax Tables'!$B$22*(MAX(H939,0)-IF(Calculator!$B$10="Yes",MIN(MAX(H939,0),'Tax Tables'!$B$27)*'Tax Tables'!$B$28+MIN(MAX(MAX(H939,0)-'Tax Tables'!$B$27,0),'Tax Tables'!$B$29)*'Tax Tables'!$B$30,MIN(MAX(H939,0),'Tax Tables'!$B$23)*'Tax Tables'!$B$24+MIN(MAX(MAX(H939,0)-'Tax Tables'!$B$23,0),'Tax Tables'!$B$25)*'Tax Tables'!$B$26))*1-MIN('Tax Tables'!$B$22*(MAX(H939,0)-IF(Calculator!$B$10="Yes",MIN(MAX(H939,0),'Tax Tables'!$B$27)*'Tax Tables'!$B$28+MIN(MAX(MAX(H939,0)-'Tax Tables'!$B$27,0),'Tax Tables'!$B$29)*'Tax Tables'!$B$30,MIN(MAX(H939,0),'Tax Tables'!$B$23)*'Tax Tables'!$B$24+MIN(MAX(MAX(H939,0)-'Tax Tables'!$B$23,0),'Tax Tables'!$B$25)*'Tax Tables'!$B$26))*Calculator!$B$11,Calculator!$B$12)</f>
        <v>0</v>
      </c>
      <c r="J939" s="11" t="n">
        <f aca="false">MAX(H939,0)-I939</f>
        <v>0</v>
      </c>
      <c r="K939" s="11" t="n">
        <f aca="false">MIN(IF(A939&gt;0,Calculator!$B$13,0)+E939+Calculator!$B$14,'Tax Tables'!$B$36)</f>
        <v>1000</v>
      </c>
      <c r="L939" s="11" t="n">
        <f aca="false">MAX(A939-K939,0)</f>
        <v>462000</v>
      </c>
      <c r="M939" s="11" t="n">
        <f aca="false">SUMPRODUCT((L939&gt;'Tax Tables'!$A$5:$A$17)*(L939-'Tax Tables'!$A$5:$A$17)*'Tax Tables'!$C$5:$C$17)</f>
        <v>75790</v>
      </c>
      <c r="N939" s="11" t="n">
        <f aca="false">IF(H939&lt;0,-1E+099,A939-E939-M939+J939+(E939+F939)*Calculator!$B$9)</f>
        <v>-1E+099</v>
      </c>
      <c r="O939" s="2"/>
      <c r="P939" s="11" t="n">
        <f aca="false">926*$B$3</f>
        <v>463000</v>
      </c>
      <c r="Q939" s="11" t="n">
        <f aca="false">MIN(P939,'Tax Tables'!$B$31*'Tax Tables'!$B$32)</f>
        <v>96000</v>
      </c>
      <c r="R939" s="11" t="n">
        <f aca="false">P939-Q939</f>
        <v>367000</v>
      </c>
      <c r="S939" s="11" t="n">
        <f aca="false">IF(Calculator!$B$6="Yes",MIN(Q939,'Tax Tables'!$B$31*'Tax Tables'!$B$32),0)</f>
        <v>96000</v>
      </c>
      <c r="T939" s="11" t="n">
        <f aca="false">S939*Calculator!$B$7</f>
        <v>19200</v>
      </c>
      <c r="U939" s="11" t="n">
        <f aca="false">S939*Calculator!$B$8</f>
        <v>16320</v>
      </c>
      <c r="V939" s="11" t="n">
        <f aca="false">IF(Q939&gt;0,'Tax Tables'!$B$32*MIN(MAX(Q939/'Tax Tables'!$B$32*'Tax Tables'!$B$33,'Tax Tables'!$B$34),'Tax Tables'!$B$35),0)</f>
        <v>135</v>
      </c>
      <c r="W939" s="11" t="n">
        <f aca="false">Calculator!$B$5-P939-U939-V939</f>
        <v>-79455</v>
      </c>
      <c r="X939" s="11" t="n">
        <f aca="false">'Tax Tables'!$B$22*(MAX(W939,0)-IF(Calculator!$B$10="Yes",MIN(MAX(W939,0),'Tax Tables'!$B$27)*'Tax Tables'!$B$28+MIN(MAX(MAX(W939,0)-'Tax Tables'!$B$27,0),'Tax Tables'!$B$29)*'Tax Tables'!$B$30,MIN(MAX(W939,0),'Tax Tables'!$B$23)*'Tax Tables'!$B$24+MIN(MAX(MAX(W939,0)-'Tax Tables'!$B$23,0),'Tax Tables'!$B$25)*'Tax Tables'!$B$26))*1-MIN('Tax Tables'!$B$22*(MAX(W939,0)-IF(Calculator!$B$10="Yes",MIN(MAX(W939,0),'Tax Tables'!$B$27)*'Tax Tables'!$B$28+MIN(MAX(MAX(W939,0)-'Tax Tables'!$B$27,0),'Tax Tables'!$B$29)*'Tax Tables'!$B$30,MIN(MAX(W939,0),'Tax Tables'!$B$23)*'Tax Tables'!$B$24+MIN(MAX(MAX(W939,0)-'Tax Tables'!$B$23,0),'Tax Tables'!$B$25)*'Tax Tables'!$B$26))*Calculator!$B$11,Calculator!$B$12)</f>
        <v>0</v>
      </c>
      <c r="Y939" s="11" t="n">
        <f aca="false">MAX(W939,0)-X939</f>
        <v>0</v>
      </c>
      <c r="Z939" s="11" t="n">
        <f aca="false">MIN(IF(P939&gt;0,Calculator!$B$13,0)+T939+Calculator!$B$14,'Tax Tables'!$B$36)</f>
        <v>20200</v>
      </c>
      <c r="AA939" s="11" t="n">
        <f aca="false">MAX(P939-Z939,0)</f>
        <v>442800</v>
      </c>
      <c r="AB939" s="11" t="n">
        <f aca="false">SUMPRODUCT((AA939&gt;'Tax Tables'!$A$5:$A$17)*(AA939-'Tax Tables'!$A$5:$A$17)*'Tax Tables'!$C$5:$C$17)</f>
        <v>71566</v>
      </c>
      <c r="AC939" s="11" t="n">
        <f aca="false">IF(W939&lt;0,-1E+099,P939-T939-AB939+Y939+(T939+U939)*Calculator!$B$9)</f>
        <v>-1E+099</v>
      </c>
    </row>
    <row r="940" customFormat="false" ht="15" hidden="false" customHeight="false" outlineLevel="0" collapsed="false">
      <c r="A940" s="11" t="n">
        <f aca="false">927*$B$3</f>
        <v>463500</v>
      </c>
      <c r="B940" s="11" t="n">
        <f aca="false">0</f>
        <v>0</v>
      </c>
      <c r="C940" s="11" t="n">
        <f aca="false">A940-B940</f>
        <v>463500</v>
      </c>
      <c r="D940" s="11" t="n">
        <f aca="false">IF(Calculator!$B$6="Yes",MIN(B940,'Tax Tables'!$B$31*'Tax Tables'!$B$32),0)</f>
        <v>0</v>
      </c>
      <c r="E940" s="11" t="n">
        <f aca="false">D940*Calculator!$B$7</f>
        <v>0</v>
      </c>
      <c r="F940" s="11" t="n">
        <f aca="false">D940*Calculator!$B$8</f>
        <v>0</v>
      </c>
      <c r="G940" s="11" t="n">
        <f aca="false">IF(B940&gt;0,'Tax Tables'!$B$32*MIN(MAX(B940/'Tax Tables'!$B$32*'Tax Tables'!$B$33,'Tax Tables'!$B$34),'Tax Tables'!$B$35),0)</f>
        <v>0</v>
      </c>
      <c r="H940" s="11" t="n">
        <f aca="false">Calculator!$B$5-A940-F940-G940</f>
        <v>-63500</v>
      </c>
      <c r="I940" s="11" t="n">
        <f aca="false">'Tax Tables'!$B$22*(MAX(H940,0)-IF(Calculator!$B$10="Yes",MIN(MAX(H940,0),'Tax Tables'!$B$27)*'Tax Tables'!$B$28+MIN(MAX(MAX(H940,0)-'Tax Tables'!$B$27,0),'Tax Tables'!$B$29)*'Tax Tables'!$B$30,MIN(MAX(H940,0),'Tax Tables'!$B$23)*'Tax Tables'!$B$24+MIN(MAX(MAX(H940,0)-'Tax Tables'!$B$23,0),'Tax Tables'!$B$25)*'Tax Tables'!$B$26))*1-MIN('Tax Tables'!$B$22*(MAX(H940,0)-IF(Calculator!$B$10="Yes",MIN(MAX(H940,0),'Tax Tables'!$B$27)*'Tax Tables'!$B$28+MIN(MAX(MAX(H940,0)-'Tax Tables'!$B$27,0),'Tax Tables'!$B$29)*'Tax Tables'!$B$30,MIN(MAX(H940,0),'Tax Tables'!$B$23)*'Tax Tables'!$B$24+MIN(MAX(MAX(H940,0)-'Tax Tables'!$B$23,0),'Tax Tables'!$B$25)*'Tax Tables'!$B$26))*Calculator!$B$11,Calculator!$B$12)</f>
        <v>0</v>
      </c>
      <c r="J940" s="11" t="n">
        <f aca="false">MAX(H940,0)-I940</f>
        <v>0</v>
      </c>
      <c r="K940" s="11" t="n">
        <f aca="false">MIN(IF(A940&gt;0,Calculator!$B$13,0)+E940+Calculator!$B$14,'Tax Tables'!$B$36)</f>
        <v>1000</v>
      </c>
      <c r="L940" s="11" t="n">
        <f aca="false">MAX(A940-K940,0)</f>
        <v>462500</v>
      </c>
      <c r="M940" s="11" t="n">
        <f aca="false">SUMPRODUCT((L940&gt;'Tax Tables'!$A$5:$A$17)*(L940-'Tax Tables'!$A$5:$A$17)*'Tax Tables'!$C$5:$C$17)</f>
        <v>75900</v>
      </c>
      <c r="N940" s="11" t="n">
        <f aca="false">IF(H940&lt;0,-1E+099,A940-E940-M940+J940+(E940+F940)*Calculator!$B$9)</f>
        <v>-1E+099</v>
      </c>
      <c r="O940" s="2"/>
      <c r="P940" s="11" t="n">
        <f aca="false">927*$B$3</f>
        <v>463500</v>
      </c>
      <c r="Q940" s="11" t="n">
        <f aca="false">MIN(P940,'Tax Tables'!$B$31*'Tax Tables'!$B$32)</f>
        <v>96000</v>
      </c>
      <c r="R940" s="11" t="n">
        <f aca="false">P940-Q940</f>
        <v>367500</v>
      </c>
      <c r="S940" s="11" t="n">
        <f aca="false">IF(Calculator!$B$6="Yes",MIN(Q940,'Tax Tables'!$B$31*'Tax Tables'!$B$32),0)</f>
        <v>96000</v>
      </c>
      <c r="T940" s="11" t="n">
        <f aca="false">S940*Calculator!$B$7</f>
        <v>19200</v>
      </c>
      <c r="U940" s="11" t="n">
        <f aca="false">S940*Calculator!$B$8</f>
        <v>16320</v>
      </c>
      <c r="V940" s="11" t="n">
        <f aca="false">IF(Q940&gt;0,'Tax Tables'!$B$32*MIN(MAX(Q940/'Tax Tables'!$B$32*'Tax Tables'!$B$33,'Tax Tables'!$B$34),'Tax Tables'!$B$35),0)</f>
        <v>135</v>
      </c>
      <c r="W940" s="11" t="n">
        <f aca="false">Calculator!$B$5-P940-U940-V940</f>
        <v>-79955</v>
      </c>
      <c r="X940" s="11" t="n">
        <f aca="false">'Tax Tables'!$B$22*(MAX(W940,0)-IF(Calculator!$B$10="Yes",MIN(MAX(W940,0),'Tax Tables'!$B$27)*'Tax Tables'!$B$28+MIN(MAX(MAX(W940,0)-'Tax Tables'!$B$27,0),'Tax Tables'!$B$29)*'Tax Tables'!$B$30,MIN(MAX(W940,0),'Tax Tables'!$B$23)*'Tax Tables'!$B$24+MIN(MAX(MAX(W940,0)-'Tax Tables'!$B$23,0),'Tax Tables'!$B$25)*'Tax Tables'!$B$26))*1-MIN('Tax Tables'!$B$22*(MAX(W940,0)-IF(Calculator!$B$10="Yes",MIN(MAX(W940,0),'Tax Tables'!$B$27)*'Tax Tables'!$B$28+MIN(MAX(MAX(W940,0)-'Tax Tables'!$B$27,0),'Tax Tables'!$B$29)*'Tax Tables'!$B$30,MIN(MAX(W940,0),'Tax Tables'!$B$23)*'Tax Tables'!$B$24+MIN(MAX(MAX(W940,0)-'Tax Tables'!$B$23,0),'Tax Tables'!$B$25)*'Tax Tables'!$B$26))*Calculator!$B$11,Calculator!$B$12)</f>
        <v>0</v>
      </c>
      <c r="Y940" s="11" t="n">
        <f aca="false">MAX(W940,0)-X940</f>
        <v>0</v>
      </c>
      <c r="Z940" s="11" t="n">
        <f aca="false">MIN(IF(P940&gt;0,Calculator!$B$13,0)+T940+Calculator!$B$14,'Tax Tables'!$B$36)</f>
        <v>20200</v>
      </c>
      <c r="AA940" s="11" t="n">
        <f aca="false">MAX(P940-Z940,0)</f>
        <v>443300</v>
      </c>
      <c r="AB940" s="11" t="n">
        <f aca="false">SUMPRODUCT((AA940&gt;'Tax Tables'!$A$5:$A$17)*(AA940-'Tax Tables'!$A$5:$A$17)*'Tax Tables'!$C$5:$C$17)</f>
        <v>71676</v>
      </c>
      <c r="AC940" s="11" t="n">
        <f aca="false">IF(W940&lt;0,-1E+099,P940-T940-AB940+Y940+(T940+U940)*Calculator!$B$9)</f>
        <v>-1E+099</v>
      </c>
    </row>
    <row r="941" customFormat="false" ht="15" hidden="false" customHeight="false" outlineLevel="0" collapsed="false">
      <c r="A941" s="11" t="n">
        <f aca="false">928*$B$3</f>
        <v>464000</v>
      </c>
      <c r="B941" s="11" t="n">
        <f aca="false">0</f>
        <v>0</v>
      </c>
      <c r="C941" s="11" t="n">
        <f aca="false">A941-B941</f>
        <v>464000</v>
      </c>
      <c r="D941" s="11" t="n">
        <f aca="false">IF(Calculator!$B$6="Yes",MIN(B941,'Tax Tables'!$B$31*'Tax Tables'!$B$32),0)</f>
        <v>0</v>
      </c>
      <c r="E941" s="11" t="n">
        <f aca="false">D941*Calculator!$B$7</f>
        <v>0</v>
      </c>
      <c r="F941" s="11" t="n">
        <f aca="false">D941*Calculator!$B$8</f>
        <v>0</v>
      </c>
      <c r="G941" s="11" t="n">
        <f aca="false">IF(B941&gt;0,'Tax Tables'!$B$32*MIN(MAX(B941/'Tax Tables'!$B$32*'Tax Tables'!$B$33,'Tax Tables'!$B$34),'Tax Tables'!$B$35),0)</f>
        <v>0</v>
      </c>
      <c r="H941" s="11" t="n">
        <f aca="false">Calculator!$B$5-A941-F941-G941</f>
        <v>-64000</v>
      </c>
      <c r="I941" s="11" t="n">
        <f aca="false">'Tax Tables'!$B$22*(MAX(H941,0)-IF(Calculator!$B$10="Yes",MIN(MAX(H941,0),'Tax Tables'!$B$27)*'Tax Tables'!$B$28+MIN(MAX(MAX(H941,0)-'Tax Tables'!$B$27,0),'Tax Tables'!$B$29)*'Tax Tables'!$B$30,MIN(MAX(H941,0),'Tax Tables'!$B$23)*'Tax Tables'!$B$24+MIN(MAX(MAX(H941,0)-'Tax Tables'!$B$23,0),'Tax Tables'!$B$25)*'Tax Tables'!$B$26))*1-MIN('Tax Tables'!$B$22*(MAX(H941,0)-IF(Calculator!$B$10="Yes",MIN(MAX(H941,0),'Tax Tables'!$B$27)*'Tax Tables'!$B$28+MIN(MAX(MAX(H941,0)-'Tax Tables'!$B$27,0),'Tax Tables'!$B$29)*'Tax Tables'!$B$30,MIN(MAX(H941,0),'Tax Tables'!$B$23)*'Tax Tables'!$B$24+MIN(MAX(MAX(H941,0)-'Tax Tables'!$B$23,0),'Tax Tables'!$B$25)*'Tax Tables'!$B$26))*Calculator!$B$11,Calculator!$B$12)</f>
        <v>0</v>
      </c>
      <c r="J941" s="11" t="n">
        <f aca="false">MAX(H941,0)-I941</f>
        <v>0</v>
      </c>
      <c r="K941" s="11" t="n">
        <f aca="false">MIN(IF(A941&gt;0,Calculator!$B$13,0)+E941+Calculator!$B$14,'Tax Tables'!$B$36)</f>
        <v>1000</v>
      </c>
      <c r="L941" s="11" t="n">
        <f aca="false">MAX(A941-K941,0)</f>
        <v>463000</v>
      </c>
      <c r="M941" s="11" t="n">
        <f aca="false">SUMPRODUCT((L941&gt;'Tax Tables'!$A$5:$A$17)*(L941-'Tax Tables'!$A$5:$A$17)*'Tax Tables'!$C$5:$C$17)</f>
        <v>76010</v>
      </c>
      <c r="N941" s="11" t="n">
        <f aca="false">IF(H941&lt;0,-1E+099,A941-E941-M941+J941+(E941+F941)*Calculator!$B$9)</f>
        <v>-1E+099</v>
      </c>
      <c r="O941" s="2"/>
      <c r="P941" s="11" t="n">
        <f aca="false">928*$B$3</f>
        <v>464000</v>
      </c>
      <c r="Q941" s="11" t="n">
        <f aca="false">MIN(P941,'Tax Tables'!$B$31*'Tax Tables'!$B$32)</f>
        <v>96000</v>
      </c>
      <c r="R941" s="11" t="n">
        <f aca="false">P941-Q941</f>
        <v>368000</v>
      </c>
      <c r="S941" s="11" t="n">
        <f aca="false">IF(Calculator!$B$6="Yes",MIN(Q941,'Tax Tables'!$B$31*'Tax Tables'!$B$32),0)</f>
        <v>96000</v>
      </c>
      <c r="T941" s="11" t="n">
        <f aca="false">S941*Calculator!$B$7</f>
        <v>19200</v>
      </c>
      <c r="U941" s="11" t="n">
        <f aca="false">S941*Calculator!$B$8</f>
        <v>16320</v>
      </c>
      <c r="V941" s="11" t="n">
        <f aca="false">IF(Q941&gt;0,'Tax Tables'!$B$32*MIN(MAX(Q941/'Tax Tables'!$B$32*'Tax Tables'!$B$33,'Tax Tables'!$B$34),'Tax Tables'!$B$35),0)</f>
        <v>135</v>
      </c>
      <c r="W941" s="11" t="n">
        <f aca="false">Calculator!$B$5-P941-U941-V941</f>
        <v>-80455</v>
      </c>
      <c r="X941" s="11" t="n">
        <f aca="false">'Tax Tables'!$B$22*(MAX(W941,0)-IF(Calculator!$B$10="Yes",MIN(MAX(W941,0),'Tax Tables'!$B$27)*'Tax Tables'!$B$28+MIN(MAX(MAX(W941,0)-'Tax Tables'!$B$27,0),'Tax Tables'!$B$29)*'Tax Tables'!$B$30,MIN(MAX(W941,0),'Tax Tables'!$B$23)*'Tax Tables'!$B$24+MIN(MAX(MAX(W941,0)-'Tax Tables'!$B$23,0),'Tax Tables'!$B$25)*'Tax Tables'!$B$26))*1-MIN('Tax Tables'!$B$22*(MAX(W941,0)-IF(Calculator!$B$10="Yes",MIN(MAX(W941,0),'Tax Tables'!$B$27)*'Tax Tables'!$B$28+MIN(MAX(MAX(W941,0)-'Tax Tables'!$B$27,0),'Tax Tables'!$B$29)*'Tax Tables'!$B$30,MIN(MAX(W941,0),'Tax Tables'!$B$23)*'Tax Tables'!$B$24+MIN(MAX(MAX(W941,0)-'Tax Tables'!$B$23,0),'Tax Tables'!$B$25)*'Tax Tables'!$B$26))*Calculator!$B$11,Calculator!$B$12)</f>
        <v>0</v>
      </c>
      <c r="Y941" s="11" t="n">
        <f aca="false">MAX(W941,0)-X941</f>
        <v>0</v>
      </c>
      <c r="Z941" s="11" t="n">
        <f aca="false">MIN(IF(P941&gt;0,Calculator!$B$13,0)+T941+Calculator!$B$14,'Tax Tables'!$B$36)</f>
        <v>20200</v>
      </c>
      <c r="AA941" s="11" t="n">
        <f aca="false">MAX(P941-Z941,0)</f>
        <v>443800</v>
      </c>
      <c r="AB941" s="11" t="n">
        <f aca="false">SUMPRODUCT((AA941&gt;'Tax Tables'!$A$5:$A$17)*(AA941-'Tax Tables'!$A$5:$A$17)*'Tax Tables'!$C$5:$C$17)</f>
        <v>71786</v>
      </c>
      <c r="AC941" s="11" t="n">
        <f aca="false">IF(W941&lt;0,-1E+099,P941-T941-AB941+Y941+(T941+U941)*Calculator!$B$9)</f>
        <v>-1E+099</v>
      </c>
    </row>
    <row r="942" customFormat="false" ht="15" hidden="false" customHeight="false" outlineLevel="0" collapsed="false">
      <c r="A942" s="11" t="n">
        <f aca="false">929*$B$3</f>
        <v>464500</v>
      </c>
      <c r="B942" s="11" t="n">
        <f aca="false">0</f>
        <v>0</v>
      </c>
      <c r="C942" s="11" t="n">
        <f aca="false">A942-B942</f>
        <v>464500</v>
      </c>
      <c r="D942" s="11" t="n">
        <f aca="false">IF(Calculator!$B$6="Yes",MIN(B942,'Tax Tables'!$B$31*'Tax Tables'!$B$32),0)</f>
        <v>0</v>
      </c>
      <c r="E942" s="11" t="n">
        <f aca="false">D942*Calculator!$B$7</f>
        <v>0</v>
      </c>
      <c r="F942" s="11" t="n">
        <f aca="false">D942*Calculator!$B$8</f>
        <v>0</v>
      </c>
      <c r="G942" s="11" t="n">
        <f aca="false">IF(B942&gt;0,'Tax Tables'!$B$32*MIN(MAX(B942/'Tax Tables'!$B$32*'Tax Tables'!$B$33,'Tax Tables'!$B$34),'Tax Tables'!$B$35),0)</f>
        <v>0</v>
      </c>
      <c r="H942" s="11" t="n">
        <f aca="false">Calculator!$B$5-A942-F942-G942</f>
        <v>-64500</v>
      </c>
      <c r="I942" s="11" t="n">
        <f aca="false">'Tax Tables'!$B$22*(MAX(H942,0)-IF(Calculator!$B$10="Yes",MIN(MAX(H942,0),'Tax Tables'!$B$27)*'Tax Tables'!$B$28+MIN(MAX(MAX(H942,0)-'Tax Tables'!$B$27,0),'Tax Tables'!$B$29)*'Tax Tables'!$B$30,MIN(MAX(H942,0),'Tax Tables'!$B$23)*'Tax Tables'!$B$24+MIN(MAX(MAX(H942,0)-'Tax Tables'!$B$23,0),'Tax Tables'!$B$25)*'Tax Tables'!$B$26))*1-MIN('Tax Tables'!$B$22*(MAX(H942,0)-IF(Calculator!$B$10="Yes",MIN(MAX(H942,0),'Tax Tables'!$B$27)*'Tax Tables'!$B$28+MIN(MAX(MAX(H942,0)-'Tax Tables'!$B$27,0),'Tax Tables'!$B$29)*'Tax Tables'!$B$30,MIN(MAX(H942,0),'Tax Tables'!$B$23)*'Tax Tables'!$B$24+MIN(MAX(MAX(H942,0)-'Tax Tables'!$B$23,0),'Tax Tables'!$B$25)*'Tax Tables'!$B$26))*Calculator!$B$11,Calculator!$B$12)</f>
        <v>0</v>
      </c>
      <c r="J942" s="11" t="n">
        <f aca="false">MAX(H942,0)-I942</f>
        <v>0</v>
      </c>
      <c r="K942" s="11" t="n">
        <f aca="false">MIN(IF(A942&gt;0,Calculator!$B$13,0)+E942+Calculator!$B$14,'Tax Tables'!$B$36)</f>
        <v>1000</v>
      </c>
      <c r="L942" s="11" t="n">
        <f aca="false">MAX(A942-K942,0)</f>
        <v>463500</v>
      </c>
      <c r="M942" s="11" t="n">
        <f aca="false">SUMPRODUCT((L942&gt;'Tax Tables'!$A$5:$A$17)*(L942-'Tax Tables'!$A$5:$A$17)*'Tax Tables'!$C$5:$C$17)</f>
        <v>76120</v>
      </c>
      <c r="N942" s="11" t="n">
        <f aca="false">IF(H942&lt;0,-1E+099,A942-E942-M942+J942+(E942+F942)*Calculator!$B$9)</f>
        <v>-1E+099</v>
      </c>
      <c r="O942" s="2"/>
      <c r="P942" s="11" t="n">
        <f aca="false">929*$B$3</f>
        <v>464500</v>
      </c>
      <c r="Q942" s="11" t="n">
        <f aca="false">MIN(P942,'Tax Tables'!$B$31*'Tax Tables'!$B$32)</f>
        <v>96000</v>
      </c>
      <c r="R942" s="11" t="n">
        <f aca="false">P942-Q942</f>
        <v>368500</v>
      </c>
      <c r="S942" s="11" t="n">
        <f aca="false">IF(Calculator!$B$6="Yes",MIN(Q942,'Tax Tables'!$B$31*'Tax Tables'!$B$32),0)</f>
        <v>96000</v>
      </c>
      <c r="T942" s="11" t="n">
        <f aca="false">S942*Calculator!$B$7</f>
        <v>19200</v>
      </c>
      <c r="U942" s="11" t="n">
        <f aca="false">S942*Calculator!$B$8</f>
        <v>16320</v>
      </c>
      <c r="V942" s="11" t="n">
        <f aca="false">IF(Q942&gt;0,'Tax Tables'!$B$32*MIN(MAX(Q942/'Tax Tables'!$B$32*'Tax Tables'!$B$33,'Tax Tables'!$B$34),'Tax Tables'!$B$35),0)</f>
        <v>135</v>
      </c>
      <c r="W942" s="11" t="n">
        <f aca="false">Calculator!$B$5-P942-U942-V942</f>
        <v>-80955</v>
      </c>
      <c r="X942" s="11" t="n">
        <f aca="false">'Tax Tables'!$B$22*(MAX(W942,0)-IF(Calculator!$B$10="Yes",MIN(MAX(W942,0),'Tax Tables'!$B$27)*'Tax Tables'!$B$28+MIN(MAX(MAX(W942,0)-'Tax Tables'!$B$27,0),'Tax Tables'!$B$29)*'Tax Tables'!$B$30,MIN(MAX(W942,0),'Tax Tables'!$B$23)*'Tax Tables'!$B$24+MIN(MAX(MAX(W942,0)-'Tax Tables'!$B$23,0),'Tax Tables'!$B$25)*'Tax Tables'!$B$26))*1-MIN('Tax Tables'!$B$22*(MAX(W942,0)-IF(Calculator!$B$10="Yes",MIN(MAX(W942,0),'Tax Tables'!$B$27)*'Tax Tables'!$B$28+MIN(MAX(MAX(W942,0)-'Tax Tables'!$B$27,0),'Tax Tables'!$B$29)*'Tax Tables'!$B$30,MIN(MAX(W942,0),'Tax Tables'!$B$23)*'Tax Tables'!$B$24+MIN(MAX(MAX(W942,0)-'Tax Tables'!$B$23,0),'Tax Tables'!$B$25)*'Tax Tables'!$B$26))*Calculator!$B$11,Calculator!$B$12)</f>
        <v>0</v>
      </c>
      <c r="Y942" s="11" t="n">
        <f aca="false">MAX(W942,0)-X942</f>
        <v>0</v>
      </c>
      <c r="Z942" s="11" t="n">
        <f aca="false">MIN(IF(P942&gt;0,Calculator!$B$13,0)+T942+Calculator!$B$14,'Tax Tables'!$B$36)</f>
        <v>20200</v>
      </c>
      <c r="AA942" s="11" t="n">
        <f aca="false">MAX(P942-Z942,0)</f>
        <v>444300</v>
      </c>
      <c r="AB942" s="11" t="n">
        <f aca="false">SUMPRODUCT((AA942&gt;'Tax Tables'!$A$5:$A$17)*(AA942-'Tax Tables'!$A$5:$A$17)*'Tax Tables'!$C$5:$C$17)</f>
        <v>71896</v>
      </c>
      <c r="AC942" s="11" t="n">
        <f aca="false">IF(W942&lt;0,-1E+099,P942-T942-AB942+Y942+(T942+U942)*Calculator!$B$9)</f>
        <v>-1E+099</v>
      </c>
    </row>
    <row r="943" customFormat="false" ht="15" hidden="false" customHeight="false" outlineLevel="0" collapsed="false">
      <c r="A943" s="11" t="n">
        <f aca="false">930*$B$3</f>
        <v>465000</v>
      </c>
      <c r="B943" s="11" t="n">
        <f aca="false">0</f>
        <v>0</v>
      </c>
      <c r="C943" s="11" t="n">
        <f aca="false">A943-B943</f>
        <v>465000</v>
      </c>
      <c r="D943" s="11" t="n">
        <f aca="false">IF(Calculator!$B$6="Yes",MIN(B943,'Tax Tables'!$B$31*'Tax Tables'!$B$32),0)</f>
        <v>0</v>
      </c>
      <c r="E943" s="11" t="n">
        <f aca="false">D943*Calculator!$B$7</f>
        <v>0</v>
      </c>
      <c r="F943" s="11" t="n">
        <f aca="false">D943*Calculator!$B$8</f>
        <v>0</v>
      </c>
      <c r="G943" s="11" t="n">
        <f aca="false">IF(B943&gt;0,'Tax Tables'!$B$32*MIN(MAX(B943/'Tax Tables'!$B$32*'Tax Tables'!$B$33,'Tax Tables'!$B$34),'Tax Tables'!$B$35),0)</f>
        <v>0</v>
      </c>
      <c r="H943" s="11" t="n">
        <f aca="false">Calculator!$B$5-A943-F943-G943</f>
        <v>-65000</v>
      </c>
      <c r="I943" s="11" t="n">
        <f aca="false">'Tax Tables'!$B$22*(MAX(H943,0)-IF(Calculator!$B$10="Yes",MIN(MAX(H943,0),'Tax Tables'!$B$27)*'Tax Tables'!$B$28+MIN(MAX(MAX(H943,0)-'Tax Tables'!$B$27,0),'Tax Tables'!$B$29)*'Tax Tables'!$B$30,MIN(MAX(H943,0),'Tax Tables'!$B$23)*'Tax Tables'!$B$24+MIN(MAX(MAX(H943,0)-'Tax Tables'!$B$23,0),'Tax Tables'!$B$25)*'Tax Tables'!$B$26))*1-MIN('Tax Tables'!$B$22*(MAX(H943,0)-IF(Calculator!$B$10="Yes",MIN(MAX(H943,0),'Tax Tables'!$B$27)*'Tax Tables'!$B$28+MIN(MAX(MAX(H943,0)-'Tax Tables'!$B$27,0),'Tax Tables'!$B$29)*'Tax Tables'!$B$30,MIN(MAX(H943,0),'Tax Tables'!$B$23)*'Tax Tables'!$B$24+MIN(MAX(MAX(H943,0)-'Tax Tables'!$B$23,0),'Tax Tables'!$B$25)*'Tax Tables'!$B$26))*Calculator!$B$11,Calculator!$B$12)</f>
        <v>0</v>
      </c>
      <c r="J943" s="11" t="n">
        <f aca="false">MAX(H943,0)-I943</f>
        <v>0</v>
      </c>
      <c r="K943" s="11" t="n">
        <f aca="false">MIN(IF(A943&gt;0,Calculator!$B$13,0)+E943+Calculator!$B$14,'Tax Tables'!$B$36)</f>
        <v>1000</v>
      </c>
      <c r="L943" s="11" t="n">
        <f aca="false">MAX(A943-K943,0)</f>
        <v>464000</v>
      </c>
      <c r="M943" s="11" t="n">
        <f aca="false">SUMPRODUCT((L943&gt;'Tax Tables'!$A$5:$A$17)*(L943-'Tax Tables'!$A$5:$A$17)*'Tax Tables'!$C$5:$C$17)</f>
        <v>76230</v>
      </c>
      <c r="N943" s="11" t="n">
        <f aca="false">IF(H943&lt;0,-1E+099,A943-E943-M943+J943+(E943+F943)*Calculator!$B$9)</f>
        <v>-1E+099</v>
      </c>
      <c r="O943" s="2"/>
      <c r="P943" s="11" t="n">
        <f aca="false">930*$B$3</f>
        <v>465000</v>
      </c>
      <c r="Q943" s="11" t="n">
        <f aca="false">MIN(P943,'Tax Tables'!$B$31*'Tax Tables'!$B$32)</f>
        <v>96000</v>
      </c>
      <c r="R943" s="11" t="n">
        <f aca="false">P943-Q943</f>
        <v>369000</v>
      </c>
      <c r="S943" s="11" t="n">
        <f aca="false">IF(Calculator!$B$6="Yes",MIN(Q943,'Tax Tables'!$B$31*'Tax Tables'!$B$32),0)</f>
        <v>96000</v>
      </c>
      <c r="T943" s="11" t="n">
        <f aca="false">S943*Calculator!$B$7</f>
        <v>19200</v>
      </c>
      <c r="U943" s="11" t="n">
        <f aca="false">S943*Calculator!$B$8</f>
        <v>16320</v>
      </c>
      <c r="V943" s="11" t="n">
        <f aca="false">IF(Q943&gt;0,'Tax Tables'!$B$32*MIN(MAX(Q943/'Tax Tables'!$B$32*'Tax Tables'!$B$33,'Tax Tables'!$B$34),'Tax Tables'!$B$35),0)</f>
        <v>135</v>
      </c>
      <c r="W943" s="11" t="n">
        <f aca="false">Calculator!$B$5-P943-U943-V943</f>
        <v>-81455</v>
      </c>
      <c r="X943" s="11" t="n">
        <f aca="false">'Tax Tables'!$B$22*(MAX(W943,0)-IF(Calculator!$B$10="Yes",MIN(MAX(W943,0),'Tax Tables'!$B$27)*'Tax Tables'!$B$28+MIN(MAX(MAX(W943,0)-'Tax Tables'!$B$27,0),'Tax Tables'!$B$29)*'Tax Tables'!$B$30,MIN(MAX(W943,0),'Tax Tables'!$B$23)*'Tax Tables'!$B$24+MIN(MAX(MAX(W943,0)-'Tax Tables'!$B$23,0),'Tax Tables'!$B$25)*'Tax Tables'!$B$26))*1-MIN('Tax Tables'!$B$22*(MAX(W943,0)-IF(Calculator!$B$10="Yes",MIN(MAX(W943,0),'Tax Tables'!$B$27)*'Tax Tables'!$B$28+MIN(MAX(MAX(W943,0)-'Tax Tables'!$B$27,0),'Tax Tables'!$B$29)*'Tax Tables'!$B$30,MIN(MAX(W943,0),'Tax Tables'!$B$23)*'Tax Tables'!$B$24+MIN(MAX(MAX(W943,0)-'Tax Tables'!$B$23,0),'Tax Tables'!$B$25)*'Tax Tables'!$B$26))*Calculator!$B$11,Calculator!$B$12)</f>
        <v>0</v>
      </c>
      <c r="Y943" s="11" t="n">
        <f aca="false">MAX(W943,0)-X943</f>
        <v>0</v>
      </c>
      <c r="Z943" s="11" t="n">
        <f aca="false">MIN(IF(P943&gt;0,Calculator!$B$13,0)+T943+Calculator!$B$14,'Tax Tables'!$B$36)</f>
        <v>20200</v>
      </c>
      <c r="AA943" s="11" t="n">
        <f aca="false">MAX(P943-Z943,0)</f>
        <v>444800</v>
      </c>
      <c r="AB943" s="11" t="n">
        <f aca="false">SUMPRODUCT((AA943&gt;'Tax Tables'!$A$5:$A$17)*(AA943-'Tax Tables'!$A$5:$A$17)*'Tax Tables'!$C$5:$C$17)</f>
        <v>72006</v>
      </c>
      <c r="AC943" s="11" t="n">
        <f aca="false">IF(W943&lt;0,-1E+099,P943-T943-AB943+Y943+(T943+U943)*Calculator!$B$9)</f>
        <v>-1E+099</v>
      </c>
    </row>
    <row r="944" customFormat="false" ht="15" hidden="false" customHeight="false" outlineLevel="0" collapsed="false">
      <c r="A944" s="11" t="n">
        <f aca="false">931*$B$3</f>
        <v>465500</v>
      </c>
      <c r="B944" s="11" t="n">
        <f aca="false">0</f>
        <v>0</v>
      </c>
      <c r="C944" s="11" t="n">
        <f aca="false">A944-B944</f>
        <v>465500</v>
      </c>
      <c r="D944" s="11" t="n">
        <f aca="false">IF(Calculator!$B$6="Yes",MIN(B944,'Tax Tables'!$B$31*'Tax Tables'!$B$32),0)</f>
        <v>0</v>
      </c>
      <c r="E944" s="11" t="n">
        <f aca="false">D944*Calculator!$B$7</f>
        <v>0</v>
      </c>
      <c r="F944" s="11" t="n">
        <f aca="false">D944*Calculator!$B$8</f>
        <v>0</v>
      </c>
      <c r="G944" s="11" t="n">
        <f aca="false">IF(B944&gt;0,'Tax Tables'!$B$32*MIN(MAX(B944/'Tax Tables'!$B$32*'Tax Tables'!$B$33,'Tax Tables'!$B$34),'Tax Tables'!$B$35),0)</f>
        <v>0</v>
      </c>
      <c r="H944" s="11" t="n">
        <f aca="false">Calculator!$B$5-A944-F944-G944</f>
        <v>-65500</v>
      </c>
      <c r="I944" s="11" t="n">
        <f aca="false">'Tax Tables'!$B$22*(MAX(H944,0)-IF(Calculator!$B$10="Yes",MIN(MAX(H944,0),'Tax Tables'!$B$27)*'Tax Tables'!$B$28+MIN(MAX(MAX(H944,0)-'Tax Tables'!$B$27,0),'Tax Tables'!$B$29)*'Tax Tables'!$B$30,MIN(MAX(H944,0),'Tax Tables'!$B$23)*'Tax Tables'!$B$24+MIN(MAX(MAX(H944,0)-'Tax Tables'!$B$23,0),'Tax Tables'!$B$25)*'Tax Tables'!$B$26))*1-MIN('Tax Tables'!$B$22*(MAX(H944,0)-IF(Calculator!$B$10="Yes",MIN(MAX(H944,0),'Tax Tables'!$B$27)*'Tax Tables'!$B$28+MIN(MAX(MAX(H944,0)-'Tax Tables'!$B$27,0),'Tax Tables'!$B$29)*'Tax Tables'!$B$30,MIN(MAX(H944,0),'Tax Tables'!$B$23)*'Tax Tables'!$B$24+MIN(MAX(MAX(H944,0)-'Tax Tables'!$B$23,0),'Tax Tables'!$B$25)*'Tax Tables'!$B$26))*Calculator!$B$11,Calculator!$B$12)</f>
        <v>0</v>
      </c>
      <c r="J944" s="11" t="n">
        <f aca="false">MAX(H944,0)-I944</f>
        <v>0</v>
      </c>
      <c r="K944" s="11" t="n">
        <f aca="false">MIN(IF(A944&gt;0,Calculator!$B$13,0)+E944+Calculator!$B$14,'Tax Tables'!$B$36)</f>
        <v>1000</v>
      </c>
      <c r="L944" s="11" t="n">
        <f aca="false">MAX(A944-K944,0)</f>
        <v>464500</v>
      </c>
      <c r="M944" s="11" t="n">
        <f aca="false">SUMPRODUCT((L944&gt;'Tax Tables'!$A$5:$A$17)*(L944-'Tax Tables'!$A$5:$A$17)*'Tax Tables'!$C$5:$C$17)</f>
        <v>76340</v>
      </c>
      <c r="N944" s="11" t="n">
        <f aca="false">IF(H944&lt;0,-1E+099,A944-E944-M944+J944+(E944+F944)*Calculator!$B$9)</f>
        <v>-1E+099</v>
      </c>
      <c r="O944" s="2"/>
      <c r="P944" s="11" t="n">
        <f aca="false">931*$B$3</f>
        <v>465500</v>
      </c>
      <c r="Q944" s="11" t="n">
        <f aca="false">MIN(P944,'Tax Tables'!$B$31*'Tax Tables'!$B$32)</f>
        <v>96000</v>
      </c>
      <c r="R944" s="11" t="n">
        <f aca="false">P944-Q944</f>
        <v>369500</v>
      </c>
      <c r="S944" s="11" t="n">
        <f aca="false">IF(Calculator!$B$6="Yes",MIN(Q944,'Tax Tables'!$B$31*'Tax Tables'!$B$32),0)</f>
        <v>96000</v>
      </c>
      <c r="T944" s="11" t="n">
        <f aca="false">S944*Calculator!$B$7</f>
        <v>19200</v>
      </c>
      <c r="U944" s="11" t="n">
        <f aca="false">S944*Calculator!$B$8</f>
        <v>16320</v>
      </c>
      <c r="V944" s="11" t="n">
        <f aca="false">IF(Q944&gt;0,'Tax Tables'!$B$32*MIN(MAX(Q944/'Tax Tables'!$B$32*'Tax Tables'!$B$33,'Tax Tables'!$B$34),'Tax Tables'!$B$35),0)</f>
        <v>135</v>
      </c>
      <c r="W944" s="11" t="n">
        <f aca="false">Calculator!$B$5-P944-U944-V944</f>
        <v>-81955</v>
      </c>
      <c r="X944" s="11" t="n">
        <f aca="false">'Tax Tables'!$B$22*(MAX(W944,0)-IF(Calculator!$B$10="Yes",MIN(MAX(W944,0),'Tax Tables'!$B$27)*'Tax Tables'!$B$28+MIN(MAX(MAX(W944,0)-'Tax Tables'!$B$27,0),'Tax Tables'!$B$29)*'Tax Tables'!$B$30,MIN(MAX(W944,0),'Tax Tables'!$B$23)*'Tax Tables'!$B$24+MIN(MAX(MAX(W944,0)-'Tax Tables'!$B$23,0),'Tax Tables'!$B$25)*'Tax Tables'!$B$26))*1-MIN('Tax Tables'!$B$22*(MAX(W944,0)-IF(Calculator!$B$10="Yes",MIN(MAX(W944,0),'Tax Tables'!$B$27)*'Tax Tables'!$B$28+MIN(MAX(MAX(W944,0)-'Tax Tables'!$B$27,0),'Tax Tables'!$B$29)*'Tax Tables'!$B$30,MIN(MAX(W944,0),'Tax Tables'!$B$23)*'Tax Tables'!$B$24+MIN(MAX(MAX(W944,0)-'Tax Tables'!$B$23,0),'Tax Tables'!$B$25)*'Tax Tables'!$B$26))*Calculator!$B$11,Calculator!$B$12)</f>
        <v>0</v>
      </c>
      <c r="Y944" s="11" t="n">
        <f aca="false">MAX(W944,0)-X944</f>
        <v>0</v>
      </c>
      <c r="Z944" s="11" t="n">
        <f aca="false">MIN(IF(P944&gt;0,Calculator!$B$13,0)+T944+Calculator!$B$14,'Tax Tables'!$B$36)</f>
        <v>20200</v>
      </c>
      <c r="AA944" s="11" t="n">
        <f aca="false">MAX(P944-Z944,0)</f>
        <v>445300</v>
      </c>
      <c r="AB944" s="11" t="n">
        <f aca="false">SUMPRODUCT((AA944&gt;'Tax Tables'!$A$5:$A$17)*(AA944-'Tax Tables'!$A$5:$A$17)*'Tax Tables'!$C$5:$C$17)</f>
        <v>72116</v>
      </c>
      <c r="AC944" s="11" t="n">
        <f aca="false">IF(W944&lt;0,-1E+099,P944-T944-AB944+Y944+(T944+U944)*Calculator!$B$9)</f>
        <v>-1E+099</v>
      </c>
    </row>
    <row r="945" customFormat="false" ht="15" hidden="false" customHeight="false" outlineLevel="0" collapsed="false">
      <c r="A945" s="11" t="n">
        <f aca="false">932*$B$3</f>
        <v>466000</v>
      </c>
      <c r="B945" s="11" t="n">
        <f aca="false">0</f>
        <v>0</v>
      </c>
      <c r="C945" s="11" t="n">
        <f aca="false">A945-B945</f>
        <v>466000</v>
      </c>
      <c r="D945" s="11" t="n">
        <f aca="false">IF(Calculator!$B$6="Yes",MIN(B945,'Tax Tables'!$B$31*'Tax Tables'!$B$32),0)</f>
        <v>0</v>
      </c>
      <c r="E945" s="11" t="n">
        <f aca="false">D945*Calculator!$B$7</f>
        <v>0</v>
      </c>
      <c r="F945" s="11" t="n">
        <f aca="false">D945*Calculator!$B$8</f>
        <v>0</v>
      </c>
      <c r="G945" s="11" t="n">
        <f aca="false">IF(B945&gt;0,'Tax Tables'!$B$32*MIN(MAX(B945/'Tax Tables'!$B$32*'Tax Tables'!$B$33,'Tax Tables'!$B$34),'Tax Tables'!$B$35),0)</f>
        <v>0</v>
      </c>
      <c r="H945" s="11" t="n">
        <f aca="false">Calculator!$B$5-A945-F945-G945</f>
        <v>-66000</v>
      </c>
      <c r="I945" s="11" t="n">
        <f aca="false">'Tax Tables'!$B$22*(MAX(H945,0)-IF(Calculator!$B$10="Yes",MIN(MAX(H945,0),'Tax Tables'!$B$27)*'Tax Tables'!$B$28+MIN(MAX(MAX(H945,0)-'Tax Tables'!$B$27,0),'Tax Tables'!$B$29)*'Tax Tables'!$B$30,MIN(MAX(H945,0),'Tax Tables'!$B$23)*'Tax Tables'!$B$24+MIN(MAX(MAX(H945,0)-'Tax Tables'!$B$23,0),'Tax Tables'!$B$25)*'Tax Tables'!$B$26))*1-MIN('Tax Tables'!$B$22*(MAX(H945,0)-IF(Calculator!$B$10="Yes",MIN(MAX(H945,0),'Tax Tables'!$B$27)*'Tax Tables'!$B$28+MIN(MAX(MAX(H945,0)-'Tax Tables'!$B$27,0),'Tax Tables'!$B$29)*'Tax Tables'!$B$30,MIN(MAX(H945,0),'Tax Tables'!$B$23)*'Tax Tables'!$B$24+MIN(MAX(MAX(H945,0)-'Tax Tables'!$B$23,0),'Tax Tables'!$B$25)*'Tax Tables'!$B$26))*Calculator!$B$11,Calculator!$B$12)</f>
        <v>0</v>
      </c>
      <c r="J945" s="11" t="n">
        <f aca="false">MAX(H945,0)-I945</f>
        <v>0</v>
      </c>
      <c r="K945" s="11" t="n">
        <f aca="false">MIN(IF(A945&gt;0,Calculator!$B$13,0)+E945+Calculator!$B$14,'Tax Tables'!$B$36)</f>
        <v>1000</v>
      </c>
      <c r="L945" s="11" t="n">
        <f aca="false">MAX(A945-K945,0)</f>
        <v>465000</v>
      </c>
      <c r="M945" s="11" t="n">
        <f aca="false">SUMPRODUCT((L945&gt;'Tax Tables'!$A$5:$A$17)*(L945-'Tax Tables'!$A$5:$A$17)*'Tax Tables'!$C$5:$C$17)</f>
        <v>76450</v>
      </c>
      <c r="N945" s="11" t="n">
        <f aca="false">IF(H945&lt;0,-1E+099,A945-E945-M945+J945+(E945+F945)*Calculator!$B$9)</f>
        <v>-1E+099</v>
      </c>
      <c r="O945" s="2"/>
      <c r="P945" s="11" t="n">
        <f aca="false">932*$B$3</f>
        <v>466000</v>
      </c>
      <c r="Q945" s="11" t="n">
        <f aca="false">MIN(P945,'Tax Tables'!$B$31*'Tax Tables'!$B$32)</f>
        <v>96000</v>
      </c>
      <c r="R945" s="11" t="n">
        <f aca="false">P945-Q945</f>
        <v>370000</v>
      </c>
      <c r="S945" s="11" t="n">
        <f aca="false">IF(Calculator!$B$6="Yes",MIN(Q945,'Tax Tables'!$B$31*'Tax Tables'!$B$32),0)</f>
        <v>96000</v>
      </c>
      <c r="T945" s="11" t="n">
        <f aca="false">S945*Calculator!$B$7</f>
        <v>19200</v>
      </c>
      <c r="U945" s="11" t="n">
        <f aca="false">S945*Calculator!$B$8</f>
        <v>16320</v>
      </c>
      <c r="V945" s="11" t="n">
        <f aca="false">IF(Q945&gt;0,'Tax Tables'!$B$32*MIN(MAX(Q945/'Tax Tables'!$B$32*'Tax Tables'!$B$33,'Tax Tables'!$B$34),'Tax Tables'!$B$35),0)</f>
        <v>135</v>
      </c>
      <c r="W945" s="11" t="n">
        <f aca="false">Calculator!$B$5-P945-U945-V945</f>
        <v>-82455</v>
      </c>
      <c r="X945" s="11" t="n">
        <f aca="false">'Tax Tables'!$B$22*(MAX(W945,0)-IF(Calculator!$B$10="Yes",MIN(MAX(W945,0),'Tax Tables'!$B$27)*'Tax Tables'!$B$28+MIN(MAX(MAX(W945,0)-'Tax Tables'!$B$27,0),'Tax Tables'!$B$29)*'Tax Tables'!$B$30,MIN(MAX(W945,0),'Tax Tables'!$B$23)*'Tax Tables'!$B$24+MIN(MAX(MAX(W945,0)-'Tax Tables'!$B$23,0),'Tax Tables'!$B$25)*'Tax Tables'!$B$26))*1-MIN('Tax Tables'!$B$22*(MAX(W945,0)-IF(Calculator!$B$10="Yes",MIN(MAX(W945,0),'Tax Tables'!$B$27)*'Tax Tables'!$B$28+MIN(MAX(MAX(W945,0)-'Tax Tables'!$B$27,0),'Tax Tables'!$B$29)*'Tax Tables'!$B$30,MIN(MAX(W945,0),'Tax Tables'!$B$23)*'Tax Tables'!$B$24+MIN(MAX(MAX(W945,0)-'Tax Tables'!$B$23,0),'Tax Tables'!$B$25)*'Tax Tables'!$B$26))*Calculator!$B$11,Calculator!$B$12)</f>
        <v>0</v>
      </c>
      <c r="Y945" s="11" t="n">
        <f aca="false">MAX(W945,0)-X945</f>
        <v>0</v>
      </c>
      <c r="Z945" s="11" t="n">
        <f aca="false">MIN(IF(P945&gt;0,Calculator!$B$13,0)+T945+Calculator!$B$14,'Tax Tables'!$B$36)</f>
        <v>20200</v>
      </c>
      <c r="AA945" s="11" t="n">
        <f aca="false">MAX(P945-Z945,0)</f>
        <v>445800</v>
      </c>
      <c r="AB945" s="11" t="n">
        <f aca="false">SUMPRODUCT((AA945&gt;'Tax Tables'!$A$5:$A$17)*(AA945-'Tax Tables'!$A$5:$A$17)*'Tax Tables'!$C$5:$C$17)</f>
        <v>72226</v>
      </c>
      <c r="AC945" s="11" t="n">
        <f aca="false">IF(W945&lt;0,-1E+099,P945-T945-AB945+Y945+(T945+U945)*Calculator!$B$9)</f>
        <v>-1E+099</v>
      </c>
    </row>
    <row r="946" customFormat="false" ht="15" hidden="false" customHeight="false" outlineLevel="0" collapsed="false">
      <c r="A946" s="11" t="n">
        <f aca="false">933*$B$3</f>
        <v>466500</v>
      </c>
      <c r="B946" s="11" t="n">
        <f aca="false">0</f>
        <v>0</v>
      </c>
      <c r="C946" s="11" t="n">
        <f aca="false">A946-B946</f>
        <v>466500</v>
      </c>
      <c r="D946" s="11" t="n">
        <f aca="false">IF(Calculator!$B$6="Yes",MIN(B946,'Tax Tables'!$B$31*'Tax Tables'!$B$32),0)</f>
        <v>0</v>
      </c>
      <c r="E946" s="11" t="n">
        <f aca="false">D946*Calculator!$B$7</f>
        <v>0</v>
      </c>
      <c r="F946" s="11" t="n">
        <f aca="false">D946*Calculator!$B$8</f>
        <v>0</v>
      </c>
      <c r="G946" s="11" t="n">
        <f aca="false">IF(B946&gt;0,'Tax Tables'!$B$32*MIN(MAX(B946/'Tax Tables'!$B$32*'Tax Tables'!$B$33,'Tax Tables'!$B$34),'Tax Tables'!$B$35),0)</f>
        <v>0</v>
      </c>
      <c r="H946" s="11" t="n">
        <f aca="false">Calculator!$B$5-A946-F946-G946</f>
        <v>-66500</v>
      </c>
      <c r="I946" s="11" t="n">
        <f aca="false">'Tax Tables'!$B$22*(MAX(H946,0)-IF(Calculator!$B$10="Yes",MIN(MAX(H946,0),'Tax Tables'!$B$27)*'Tax Tables'!$B$28+MIN(MAX(MAX(H946,0)-'Tax Tables'!$B$27,0),'Tax Tables'!$B$29)*'Tax Tables'!$B$30,MIN(MAX(H946,0),'Tax Tables'!$B$23)*'Tax Tables'!$B$24+MIN(MAX(MAX(H946,0)-'Tax Tables'!$B$23,0),'Tax Tables'!$B$25)*'Tax Tables'!$B$26))*1-MIN('Tax Tables'!$B$22*(MAX(H946,0)-IF(Calculator!$B$10="Yes",MIN(MAX(H946,0),'Tax Tables'!$B$27)*'Tax Tables'!$B$28+MIN(MAX(MAX(H946,0)-'Tax Tables'!$B$27,0),'Tax Tables'!$B$29)*'Tax Tables'!$B$30,MIN(MAX(H946,0),'Tax Tables'!$B$23)*'Tax Tables'!$B$24+MIN(MAX(MAX(H946,0)-'Tax Tables'!$B$23,0),'Tax Tables'!$B$25)*'Tax Tables'!$B$26))*Calculator!$B$11,Calculator!$B$12)</f>
        <v>0</v>
      </c>
      <c r="J946" s="11" t="n">
        <f aca="false">MAX(H946,0)-I946</f>
        <v>0</v>
      </c>
      <c r="K946" s="11" t="n">
        <f aca="false">MIN(IF(A946&gt;0,Calculator!$B$13,0)+E946+Calculator!$B$14,'Tax Tables'!$B$36)</f>
        <v>1000</v>
      </c>
      <c r="L946" s="11" t="n">
        <f aca="false">MAX(A946-K946,0)</f>
        <v>465500</v>
      </c>
      <c r="M946" s="11" t="n">
        <f aca="false">SUMPRODUCT((L946&gt;'Tax Tables'!$A$5:$A$17)*(L946-'Tax Tables'!$A$5:$A$17)*'Tax Tables'!$C$5:$C$17)</f>
        <v>76560</v>
      </c>
      <c r="N946" s="11" t="n">
        <f aca="false">IF(H946&lt;0,-1E+099,A946-E946-M946+J946+(E946+F946)*Calculator!$B$9)</f>
        <v>-1E+099</v>
      </c>
      <c r="O946" s="2"/>
      <c r="P946" s="11" t="n">
        <f aca="false">933*$B$3</f>
        <v>466500</v>
      </c>
      <c r="Q946" s="11" t="n">
        <f aca="false">MIN(P946,'Tax Tables'!$B$31*'Tax Tables'!$B$32)</f>
        <v>96000</v>
      </c>
      <c r="R946" s="11" t="n">
        <f aca="false">P946-Q946</f>
        <v>370500</v>
      </c>
      <c r="S946" s="11" t="n">
        <f aca="false">IF(Calculator!$B$6="Yes",MIN(Q946,'Tax Tables'!$B$31*'Tax Tables'!$B$32),0)</f>
        <v>96000</v>
      </c>
      <c r="T946" s="11" t="n">
        <f aca="false">S946*Calculator!$B$7</f>
        <v>19200</v>
      </c>
      <c r="U946" s="11" t="n">
        <f aca="false">S946*Calculator!$B$8</f>
        <v>16320</v>
      </c>
      <c r="V946" s="11" t="n">
        <f aca="false">IF(Q946&gt;0,'Tax Tables'!$B$32*MIN(MAX(Q946/'Tax Tables'!$B$32*'Tax Tables'!$B$33,'Tax Tables'!$B$34),'Tax Tables'!$B$35),0)</f>
        <v>135</v>
      </c>
      <c r="W946" s="11" t="n">
        <f aca="false">Calculator!$B$5-P946-U946-V946</f>
        <v>-82955</v>
      </c>
      <c r="X946" s="11" t="n">
        <f aca="false">'Tax Tables'!$B$22*(MAX(W946,0)-IF(Calculator!$B$10="Yes",MIN(MAX(W946,0),'Tax Tables'!$B$27)*'Tax Tables'!$B$28+MIN(MAX(MAX(W946,0)-'Tax Tables'!$B$27,0),'Tax Tables'!$B$29)*'Tax Tables'!$B$30,MIN(MAX(W946,0),'Tax Tables'!$B$23)*'Tax Tables'!$B$24+MIN(MAX(MAX(W946,0)-'Tax Tables'!$B$23,0),'Tax Tables'!$B$25)*'Tax Tables'!$B$26))*1-MIN('Tax Tables'!$B$22*(MAX(W946,0)-IF(Calculator!$B$10="Yes",MIN(MAX(W946,0),'Tax Tables'!$B$27)*'Tax Tables'!$B$28+MIN(MAX(MAX(W946,0)-'Tax Tables'!$B$27,0),'Tax Tables'!$B$29)*'Tax Tables'!$B$30,MIN(MAX(W946,0),'Tax Tables'!$B$23)*'Tax Tables'!$B$24+MIN(MAX(MAX(W946,0)-'Tax Tables'!$B$23,0),'Tax Tables'!$B$25)*'Tax Tables'!$B$26))*Calculator!$B$11,Calculator!$B$12)</f>
        <v>0</v>
      </c>
      <c r="Y946" s="11" t="n">
        <f aca="false">MAX(W946,0)-X946</f>
        <v>0</v>
      </c>
      <c r="Z946" s="11" t="n">
        <f aca="false">MIN(IF(P946&gt;0,Calculator!$B$13,0)+T946+Calculator!$B$14,'Tax Tables'!$B$36)</f>
        <v>20200</v>
      </c>
      <c r="AA946" s="11" t="n">
        <f aca="false">MAX(P946-Z946,0)</f>
        <v>446300</v>
      </c>
      <c r="AB946" s="11" t="n">
        <f aca="false">SUMPRODUCT((AA946&gt;'Tax Tables'!$A$5:$A$17)*(AA946-'Tax Tables'!$A$5:$A$17)*'Tax Tables'!$C$5:$C$17)</f>
        <v>72336</v>
      </c>
      <c r="AC946" s="11" t="n">
        <f aca="false">IF(W946&lt;0,-1E+099,P946-T946-AB946+Y946+(T946+U946)*Calculator!$B$9)</f>
        <v>-1E+099</v>
      </c>
    </row>
    <row r="947" customFormat="false" ht="15" hidden="false" customHeight="false" outlineLevel="0" collapsed="false">
      <c r="A947" s="11" t="n">
        <f aca="false">934*$B$3</f>
        <v>467000</v>
      </c>
      <c r="B947" s="11" t="n">
        <f aca="false">0</f>
        <v>0</v>
      </c>
      <c r="C947" s="11" t="n">
        <f aca="false">A947-B947</f>
        <v>467000</v>
      </c>
      <c r="D947" s="11" t="n">
        <f aca="false">IF(Calculator!$B$6="Yes",MIN(B947,'Tax Tables'!$B$31*'Tax Tables'!$B$32),0)</f>
        <v>0</v>
      </c>
      <c r="E947" s="11" t="n">
        <f aca="false">D947*Calculator!$B$7</f>
        <v>0</v>
      </c>
      <c r="F947" s="11" t="n">
        <f aca="false">D947*Calculator!$B$8</f>
        <v>0</v>
      </c>
      <c r="G947" s="11" t="n">
        <f aca="false">IF(B947&gt;0,'Tax Tables'!$B$32*MIN(MAX(B947/'Tax Tables'!$B$32*'Tax Tables'!$B$33,'Tax Tables'!$B$34),'Tax Tables'!$B$35),0)</f>
        <v>0</v>
      </c>
      <c r="H947" s="11" t="n">
        <f aca="false">Calculator!$B$5-A947-F947-G947</f>
        <v>-67000</v>
      </c>
      <c r="I947" s="11" t="n">
        <f aca="false">'Tax Tables'!$B$22*(MAX(H947,0)-IF(Calculator!$B$10="Yes",MIN(MAX(H947,0),'Tax Tables'!$B$27)*'Tax Tables'!$B$28+MIN(MAX(MAX(H947,0)-'Tax Tables'!$B$27,0),'Tax Tables'!$B$29)*'Tax Tables'!$B$30,MIN(MAX(H947,0),'Tax Tables'!$B$23)*'Tax Tables'!$B$24+MIN(MAX(MAX(H947,0)-'Tax Tables'!$B$23,0),'Tax Tables'!$B$25)*'Tax Tables'!$B$26))*1-MIN('Tax Tables'!$B$22*(MAX(H947,0)-IF(Calculator!$B$10="Yes",MIN(MAX(H947,0),'Tax Tables'!$B$27)*'Tax Tables'!$B$28+MIN(MAX(MAX(H947,0)-'Tax Tables'!$B$27,0),'Tax Tables'!$B$29)*'Tax Tables'!$B$30,MIN(MAX(H947,0),'Tax Tables'!$B$23)*'Tax Tables'!$B$24+MIN(MAX(MAX(H947,0)-'Tax Tables'!$B$23,0),'Tax Tables'!$B$25)*'Tax Tables'!$B$26))*Calculator!$B$11,Calculator!$B$12)</f>
        <v>0</v>
      </c>
      <c r="J947" s="11" t="n">
        <f aca="false">MAX(H947,0)-I947</f>
        <v>0</v>
      </c>
      <c r="K947" s="11" t="n">
        <f aca="false">MIN(IF(A947&gt;0,Calculator!$B$13,0)+E947+Calculator!$B$14,'Tax Tables'!$B$36)</f>
        <v>1000</v>
      </c>
      <c r="L947" s="11" t="n">
        <f aca="false">MAX(A947-K947,0)</f>
        <v>466000</v>
      </c>
      <c r="M947" s="11" t="n">
        <f aca="false">SUMPRODUCT((L947&gt;'Tax Tables'!$A$5:$A$17)*(L947-'Tax Tables'!$A$5:$A$17)*'Tax Tables'!$C$5:$C$17)</f>
        <v>76670</v>
      </c>
      <c r="N947" s="11" t="n">
        <f aca="false">IF(H947&lt;0,-1E+099,A947-E947-M947+J947+(E947+F947)*Calculator!$B$9)</f>
        <v>-1E+099</v>
      </c>
      <c r="O947" s="2"/>
      <c r="P947" s="11" t="n">
        <f aca="false">934*$B$3</f>
        <v>467000</v>
      </c>
      <c r="Q947" s="11" t="n">
        <f aca="false">MIN(P947,'Tax Tables'!$B$31*'Tax Tables'!$B$32)</f>
        <v>96000</v>
      </c>
      <c r="R947" s="11" t="n">
        <f aca="false">P947-Q947</f>
        <v>371000</v>
      </c>
      <c r="S947" s="11" t="n">
        <f aca="false">IF(Calculator!$B$6="Yes",MIN(Q947,'Tax Tables'!$B$31*'Tax Tables'!$B$32),0)</f>
        <v>96000</v>
      </c>
      <c r="T947" s="11" t="n">
        <f aca="false">S947*Calculator!$B$7</f>
        <v>19200</v>
      </c>
      <c r="U947" s="11" t="n">
        <f aca="false">S947*Calculator!$B$8</f>
        <v>16320</v>
      </c>
      <c r="V947" s="11" t="n">
        <f aca="false">IF(Q947&gt;0,'Tax Tables'!$B$32*MIN(MAX(Q947/'Tax Tables'!$B$32*'Tax Tables'!$B$33,'Tax Tables'!$B$34),'Tax Tables'!$B$35),0)</f>
        <v>135</v>
      </c>
      <c r="W947" s="11" t="n">
        <f aca="false">Calculator!$B$5-P947-U947-V947</f>
        <v>-83455</v>
      </c>
      <c r="X947" s="11" t="n">
        <f aca="false">'Tax Tables'!$B$22*(MAX(W947,0)-IF(Calculator!$B$10="Yes",MIN(MAX(W947,0),'Tax Tables'!$B$27)*'Tax Tables'!$B$28+MIN(MAX(MAX(W947,0)-'Tax Tables'!$B$27,0),'Tax Tables'!$B$29)*'Tax Tables'!$B$30,MIN(MAX(W947,0),'Tax Tables'!$B$23)*'Tax Tables'!$B$24+MIN(MAX(MAX(W947,0)-'Tax Tables'!$B$23,0),'Tax Tables'!$B$25)*'Tax Tables'!$B$26))*1-MIN('Tax Tables'!$B$22*(MAX(W947,0)-IF(Calculator!$B$10="Yes",MIN(MAX(W947,0),'Tax Tables'!$B$27)*'Tax Tables'!$B$28+MIN(MAX(MAX(W947,0)-'Tax Tables'!$B$27,0),'Tax Tables'!$B$29)*'Tax Tables'!$B$30,MIN(MAX(W947,0),'Tax Tables'!$B$23)*'Tax Tables'!$B$24+MIN(MAX(MAX(W947,0)-'Tax Tables'!$B$23,0),'Tax Tables'!$B$25)*'Tax Tables'!$B$26))*Calculator!$B$11,Calculator!$B$12)</f>
        <v>0</v>
      </c>
      <c r="Y947" s="11" t="n">
        <f aca="false">MAX(W947,0)-X947</f>
        <v>0</v>
      </c>
      <c r="Z947" s="11" t="n">
        <f aca="false">MIN(IF(P947&gt;0,Calculator!$B$13,0)+T947+Calculator!$B$14,'Tax Tables'!$B$36)</f>
        <v>20200</v>
      </c>
      <c r="AA947" s="11" t="n">
        <f aca="false">MAX(P947-Z947,0)</f>
        <v>446800</v>
      </c>
      <c r="AB947" s="11" t="n">
        <f aca="false">SUMPRODUCT((AA947&gt;'Tax Tables'!$A$5:$A$17)*(AA947-'Tax Tables'!$A$5:$A$17)*'Tax Tables'!$C$5:$C$17)</f>
        <v>72446</v>
      </c>
      <c r="AC947" s="11" t="n">
        <f aca="false">IF(W947&lt;0,-1E+099,P947-T947-AB947+Y947+(T947+U947)*Calculator!$B$9)</f>
        <v>-1E+099</v>
      </c>
    </row>
    <row r="948" customFormat="false" ht="15" hidden="false" customHeight="false" outlineLevel="0" collapsed="false">
      <c r="A948" s="11" t="n">
        <f aca="false">935*$B$3</f>
        <v>467500</v>
      </c>
      <c r="B948" s="11" t="n">
        <f aca="false">0</f>
        <v>0</v>
      </c>
      <c r="C948" s="11" t="n">
        <f aca="false">A948-B948</f>
        <v>467500</v>
      </c>
      <c r="D948" s="11" t="n">
        <f aca="false">IF(Calculator!$B$6="Yes",MIN(B948,'Tax Tables'!$B$31*'Tax Tables'!$B$32),0)</f>
        <v>0</v>
      </c>
      <c r="E948" s="11" t="n">
        <f aca="false">D948*Calculator!$B$7</f>
        <v>0</v>
      </c>
      <c r="F948" s="11" t="n">
        <f aca="false">D948*Calculator!$B$8</f>
        <v>0</v>
      </c>
      <c r="G948" s="11" t="n">
        <f aca="false">IF(B948&gt;0,'Tax Tables'!$B$32*MIN(MAX(B948/'Tax Tables'!$B$32*'Tax Tables'!$B$33,'Tax Tables'!$B$34),'Tax Tables'!$B$35),0)</f>
        <v>0</v>
      </c>
      <c r="H948" s="11" t="n">
        <f aca="false">Calculator!$B$5-A948-F948-G948</f>
        <v>-67500</v>
      </c>
      <c r="I948" s="11" t="n">
        <f aca="false">'Tax Tables'!$B$22*(MAX(H948,0)-IF(Calculator!$B$10="Yes",MIN(MAX(H948,0),'Tax Tables'!$B$27)*'Tax Tables'!$B$28+MIN(MAX(MAX(H948,0)-'Tax Tables'!$B$27,0),'Tax Tables'!$B$29)*'Tax Tables'!$B$30,MIN(MAX(H948,0),'Tax Tables'!$B$23)*'Tax Tables'!$B$24+MIN(MAX(MAX(H948,0)-'Tax Tables'!$B$23,0),'Tax Tables'!$B$25)*'Tax Tables'!$B$26))*1-MIN('Tax Tables'!$B$22*(MAX(H948,0)-IF(Calculator!$B$10="Yes",MIN(MAX(H948,0),'Tax Tables'!$B$27)*'Tax Tables'!$B$28+MIN(MAX(MAX(H948,0)-'Tax Tables'!$B$27,0),'Tax Tables'!$B$29)*'Tax Tables'!$B$30,MIN(MAX(H948,0),'Tax Tables'!$B$23)*'Tax Tables'!$B$24+MIN(MAX(MAX(H948,0)-'Tax Tables'!$B$23,0),'Tax Tables'!$B$25)*'Tax Tables'!$B$26))*Calculator!$B$11,Calculator!$B$12)</f>
        <v>0</v>
      </c>
      <c r="J948" s="11" t="n">
        <f aca="false">MAX(H948,0)-I948</f>
        <v>0</v>
      </c>
      <c r="K948" s="11" t="n">
        <f aca="false">MIN(IF(A948&gt;0,Calculator!$B$13,0)+E948+Calculator!$B$14,'Tax Tables'!$B$36)</f>
        <v>1000</v>
      </c>
      <c r="L948" s="11" t="n">
        <f aca="false">MAX(A948-K948,0)</f>
        <v>466500</v>
      </c>
      <c r="M948" s="11" t="n">
        <f aca="false">SUMPRODUCT((L948&gt;'Tax Tables'!$A$5:$A$17)*(L948-'Tax Tables'!$A$5:$A$17)*'Tax Tables'!$C$5:$C$17)</f>
        <v>76780</v>
      </c>
      <c r="N948" s="11" t="n">
        <f aca="false">IF(H948&lt;0,-1E+099,A948-E948-M948+J948+(E948+F948)*Calculator!$B$9)</f>
        <v>-1E+099</v>
      </c>
      <c r="O948" s="2"/>
      <c r="P948" s="11" t="n">
        <f aca="false">935*$B$3</f>
        <v>467500</v>
      </c>
      <c r="Q948" s="11" t="n">
        <f aca="false">MIN(P948,'Tax Tables'!$B$31*'Tax Tables'!$B$32)</f>
        <v>96000</v>
      </c>
      <c r="R948" s="11" t="n">
        <f aca="false">P948-Q948</f>
        <v>371500</v>
      </c>
      <c r="S948" s="11" t="n">
        <f aca="false">IF(Calculator!$B$6="Yes",MIN(Q948,'Tax Tables'!$B$31*'Tax Tables'!$B$32),0)</f>
        <v>96000</v>
      </c>
      <c r="T948" s="11" t="n">
        <f aca="false">S948*Calculator!$B$7</f>
        <v>19200</v>
      </c>
      <c r="U948" s="11" t="n">
        <f aca="false">S948*Calculator!$B$8</f>
        <v>16320</v>
      </c>
      <c r="V948" s="11" t="n">
        <f aca="false">IF(Q948&gt;0,'Tax Tables'!$B$32*MIN(MAX(Q948/'Tax Tables'!$B$32*'Tax Tables'!$B$33,'Tax Tables'!$B$34),'Tax Tables'!$B$35),0)</f>
        <v>135</v>
      </c>
      <c r="W948" s="11" t="n">
        <f aca="false">Calculator!$B$5-P948-U948-V948</f>
        <v>-83955</v>
      </c>
      <c r="X948" s="11" t="n">
        <f aca="false">'Tax Tables'!$B$22*(MAX(W948,0)-IF(Calculator!$B$10="Yes",MIN(MAX(W948,0),'Tax Tables'!$B$27)*'Tax Tables'!$B$28+MIN(MAX(MAX(W948,0)-'Tax Tables'!$B$27,0),'Tax Tables'!$B$29)*'Tax Tables'!$B$30,MIN(MAX(W948,0),'Tax Tables'!$B$23)*'Tax Tables'!$B$24+MIN(MAX(MAX(W948,0)-'Tax Tables'!$B$23,0),'Tax Tables'!$B$25)*'Tax Tables'!$B$26))*1-MIN('Tax Tables'!$B$22*(MAX(W948,0)-IF(Calculator!$B$10="Yes",MIN(MAX(W948,0),'Tax Tables'!$B$27)*'Tax Tables'!$B$28+MIN(MAX(MAX(W948,0)-'Tax Tables'!$B$27,0),'Tax Tables'!$B$29)*'Tax Tables'!$B$30,MIN(MAX(W948,0),'Tax Tables'!$B$23)*'Tax Tables'!$B$24+MIN(MAX(MAX(W948,0)-'Tax Tables'!$B$23,0),'Tax Tables'!$B$25)*'Tax Tables'!$B$26))*Calculator!$B$11,Calculator!$B$12)</f>
        <v>0</v>
      </c>
      <c r="Y948" s="11" t="n">
        <f aca="false">MAX(W948,0)-X948</f>
        <v>0</v>
      </c>
      <c r="Z948" s="11" t="n">
        <f aca="false">MIN(IF(P948&gt;0,Calculator!$B$13,0)+T948+Calculator!$B$14,'Tax Tables'!$B$36)</f>
        <v>20200</v>
      </c>
      <c r="AA948" s="11" t="n">
        <f aca="false">MAX(P948-Z948,0)</f>
        <v>447300</v>
      </c>
      <c r="AB948" s="11" t="n">
        <f aca="false">SUMPRODUCT((AA948&gt;'Tax Tables'!$A$5:$A$17)*(AA948-'Tax Tables'!$A$5:$A$17)*'Tax Tables'!$C$5:$C$17)</f>
        <v>72556</v>
      </c>
      <c r="AC948" s="11" t="n">
        <f aca="false">IF(W948&lt;0,-1E+099,P948-T948-AB948+Y948+(T948+U948)*Calculator!$B$9)</f>
        <v>-1E+099</v>
      </c>
    </row>
    <row r="949" customFormat="false" ht="15" hidden="false" customHeight="false" outlineLevel="0" collapsed="false">
      <c r="A949" s="11" t="n">
        <f aca="false">936*$B$3</f>
        <v>468000</v>
      </c>
      <c r="B949" s="11" t="n">
        <f aca="false">0</f>
        <v>0</v>
      </c>
      <c r="C949" s="11" t="n">
        <f aca="false">A949-B949</f>
        <v>468000</v>
      </c>
      <c r="D949" s="11" t="n">
        <f aca="false">IF(Calculator!$B$6="Yes",MIN(B949,'Tax Tables'!$B$31*'Tax Tables'!$B$32),0)</f>
        <v>0</v>
      </c>
      <c r="E949" s="11" t="n">
        <f aca="false">D949*Calculator!$B$7</f>
        <v>0</v>
      </c>
      <c r="F949" s="11" t="n">
        <f aca="false">D949*Calculator!$B$8</f>
        <v>0</v>
      </c>
      <c r="G949" s="11" t="n">
        <f aca="false">IF(B949&gt;0,'Tax Tables'!$B$32*MIN(MAX(B949/'Tax Tables'!$B$32*'Tax Tables'!$B$33,'Tax Tables'!$B$34),'Tax Tables'!$B$35),0)</f>
        <v>0</v>
      </c>
      <c r="H949" s="11" t="n">
        <f aca="false">Calculator!$B$5-A949-F949-G949</f>
        <v>-68000</v>
      </c>
      <c r="I949" s="11" t="n">
        <f aca="false">'Tax Tables'!$B$22*(MAX(H949,0)-IF(Calculator!$B$10="Yes",MIN(MAX(H949,0),'Tax Tables'!$B$27)*'Tax Tables'!$B$28+MIN(MAX(MAX(H949,0)-'Tax Tables'!$B$27,0),'Tax Tables'!$B$29)*'Tax Tables'!$B$30,MIN(MAX(H949,0),'Tax Tables'!$B$23)*'Tax Tables'!$B$24+MIN(MAX(MAX(H949,0)-'Tax Tables'!$B$23,0),'Tax Tables'!$B$25)*'Tax Tables'!$B$26))*1-MIN('Tax Tables'!$B$22*(MAX(H949,0)-IF(Calculator!$B$10="Yes",MIN(MAX(H949,0),'Tax Tables'!$B$27)*'Tax Tables'!$B$28+MIN(MAX(MAX(H949,0)-'Tax Tables'!$B$27,0),'Tax Tables'!$B$29)*'Tax Tables'!$B$30,MIN(MAX(H949,0),'Tax Tables'!$B$23)*'Tax Tables'!$B$24+MIN(MAX(MAX(H949,0)-'Tax Tables'!$B$23,0),'Tax Tables'!$B$25)*'Tax Tables'!$B$26))*Calculator!$B$11,Calculator!$B$12)</f>
        <v>0</v>
      </c>
      <c r="J949" s="11" t="n">
        <f aca="false">MAX(H949,0)-I949</f>
        <v>0</v>
      </c>
      <c r="K949" s="11" t="n">
        <f aca="false">MIN(IF(A949&gt;0,Calculator!$B$13,0)+E949+Calculator!$B$14,'Tax Tables'!$B$36)</f>
        <v>1000</v>
      </c>
      <c r="L949" s="11" t="n">
        <f aca="false">MAX(A949-K949,0)</f>
        <v>467000</v>
      </c>
      <c r="M949" s="11" t="n">
        <f aca="false">SUMPRODUCT((L949&gt;'Tax Tables'!$A$5:$A$17)*(L949-'Tax Tables'!$A$5:$A$17)*'Tax Tables'!$C$5:$C$17)</f>
        <v>76890</v>
      </c>
      <c r="N949" s="11" t="n">
        <f aca="false">IF(H949&lt;0,-1E+099,A949-E949-M949+J949+(E949+F949)*Calculator!$B$9)</f>
        <v>-1E+099</v>
      </c>
      <c r="O949" s="2"/>
      <c r="P949" s="11" t="n">
        <f aca="false">936*$B$3</f>
        <v>468000</v>
      </c>
      <c r="Q949" s="11" t="n">
        <f aca="false">MIN(P949,'Tax Tables'!$B$31*'Tax Tables'!$B$32)</f>
        <v>96000</v>
      </c>
      <c r="R949" s="11" t="n">
        <f aca="false">P949-Q949</f>
        <v>372000</v>
      </c>
      <c r="S949" s="11" t="n">
        <f aca="false">IF(Calculator!$B$6="Yes",MIN(Q949,'Tax Tables'!$B$31*'Tax Tables'!$B$32),0)</f>
        <v>96000</v>
      </c>
      <c r="T949" s="11" t="n">
        <f aca="false">S949*Calculator!$B$7</f>
        <v>19200</v>
      </c>
      <c r="U949" s="11" t="n">
        <f aca="false">S949*Calculator!$B$8</f>
        <v>16320</v>
      </c>
      <c r="V949" s="11" t="n">
        <f aca="false">IF(Q949&gt;0,'Tax Tables'!$B$32*MIN(MAX(Q949/'Tax Tables'!$B$32*'Tax Tables'!$B$33,'Tax Tables'!$B$34),'Tax Tables'!$B$35),0)</f>
        <v>135</v>
      </c>
      <c r="W949" s="11" t="n">
        <f aca="false">Calculator!$B$5-P949-U949-V949</f>
        <v>-84455</v>
      </c>
      <c r="X949" s="11" t="n">
        <f aca="false">'Tax Tables'!$B$22*(MAX(W949,0)-IF(Calculator!$B$10="Yes",MIN(MAX(W949,0),'Tax Tables'!$B$27)*'Tax Tables'!$B$28+MIN(MAX(MAX(W949,0)-'Tax Tables'!$B$27,0),'Tax Tables'!$B$29)*'Tax Tables'!$B$30,MIN(MAX(W949,0),'Tax Tables'!$B$23)*'Tax Tables'!$B$24+MIN(MAX(MAX(W949,0)-'Tax Tables'!$B$23,0),'Tax Tables'!$B$25)*'Tax Tables'!$B$26))*1-MIN('Tax Tables'!$B$22*(MAX(W949,0)-IF(Calculator!$B$10="Yes",MIN(MAX(W949,0),'Tax Tables'!$B$27)*'Tax Tables'!$B$28+MIN(MAX(MAX(W949,0)-'Tax Tables'!$B$27,0),'Tax Tables'!$B$29)*'Tax Tables'!$B$30,MIN(MAX(W949,0),'Tax Tables'!$B$23)*'Tax Tables'!$B$24+MIN(MAX(MAX(W949,0)-'Tax Tables'!$B$23,0),'Tax Tables'!$B$25)*'Tax Tables'!$B$26))*Calculator!$B$11,Calculator!$B$12)</f>
        <v>0</v>
      </c>
      <c r="Y949" s="11" t="n">
        <f aca="false">MAX(W949,0)-X949</f>
        <v>0</v>
      </c>
      <c r="Z949" s="11" t="n">
        <f aca="false">MIN(IF(P949&gt;0,Calculator!$B$13,0)+T949+Calculator!$B$14,'Tax Tables'!$B$36)</f>
        <v>20200</v>
      </c>
      <c r="AA949" s="11" t="n">
        <f aca="false">MAX(P949-Z949,0)</f>
        <v>447800</v>
      </c>
      <c r="AB949" s="11" t="n">
        <f aca="false">SUMPRODUCT((AA949&gt;'Tax Tables'!$A$5:$A$17)*(AA949-'Tax Tables'!$A$5:$A$17)*'Tax Tables'!$C$5:$C$17)</f>
        <v>72666</v>
      </c>
      <c r="AC949" s="11" t="n">
        <f aca="false">IF(W949&lt;0,-1E+099,P949-T949-AB949+Y949+(T949+U949)*Calculator!$B$9)</f>
        <v>-1E+099</v>
      </c>
    </row>
    <row r="950" customFormat="false" ht="15" hidden="false" customHeight="false" outlineLevel="0" collapsed="false">
      <c r="A950" s="11" t="n">
        <f aca="false">937*$B$3</f>
        <v>468500</v>
      </c>
      <c r="B950" s="11" t="n">
        <f aca="false">0</f>
        <v>0</v>
      </c>
      <c r="C950" s="11" t="n">
        <f aca="false">A950-B950</f>
        <v>468500</v>
      </c>
      <c r="D950" s="11" t="n">
        <f aca="false">IF(Calculator!$B$6="Yes",MIN(B950,'Tax Tables'!$B$31*'Tax Tables'!$B$32),0)</f>
        <v>0</v>
      </c>
      <c r="E950" s="11" t="n">
        <f aca="false">D950*Calculator!$B$7</f>
        <v>0</v>
      </c>
      <c r="F950" s="11" t="n">
        <f aca="false">D950*Calculator!$B$8</f>
        <v>0</v>
      </c>
      <c r="G950" s="11" t="n">
        <f aca="false">IF(B950&gt;0,'Tax Tables'!$B$32*MIN(MAX(B950/'Tax Tables'!$B$32*'Tax Tables'!$B$33,'Tax Tables'!$B$34),'Tax Tables'!$B$35),0)</f>
        <v>0</v>
      </c>
      <c r="H950" s="11" t="n">
        <f aca="false">Calculator!$B$5-A950-F950-G950</f>
        <v>-68500</v>
      </c>
      <c r="I950" s="11" t="n">
        <f aca="false">'Tax Tables'!$B$22*(MAX(H950,0)-IF(Calculator!$B$10="Yes",MIN(MAX(H950,0),'Tax Tables'!$B$27)*'Tax Tables'!$B$28+MIN(MAX(MAX(H950,0)-'Tax Tables'!$B$27,0),'Tax Tables'!$B$29)*'Tax Tables'!$B$30,MIN(MAX(H950,0),'Tax Tables'!$B$23)*'Tax Tables'!$B$24+MIN(MAX(MAX(H950,0)-'Tax Tables'!$B$23,0),'Tax Tables'!$B$25)*'Tax Tables'!$B$26))*1-MIN('Tax Tables'!$B$22*(MAX(H950,0)-IF(Calculator!$B$10="Yes",MIN(MAX(H950,0),'Tax Tables'!$B$27)*'Tax Tables'!$B$28+MIN(MAX(MAX(H950,0)-'Tax Tables'!$B$27,0),'Tax Tables'!$B$29)*'Tax Tables'!$B$30,MIN(MAX(H950,0),'Tax Tables'!$B$23)*'Tax Tables'!$B$24+MIN(MAX(MAX(H950,0)-'Tax Tables'!$B$23,0),'Tax Tables'!$B$25)*'Tax Tables'!$B$26))*Calculator!$B$11,Calculator!$B$12)</f>
        <v>0</v>
      </c>
      <c r="J950" s="11" t="n">
        <f aca="false">MAX(H950,0)-I950</f>
        <v>0</v>
      </c>
      <c r="K950" s="11" t="n">
        <f aca="false">MIN(IF(A950&gt;0,Calculator!$B$13,0)+E950+Calculator!$B$14,'Tax Tables'!$B$36)</f>
        <v>1000</v>
      </c>
      <c r="L950" s="11" t="n">
        <f aca="false">MAX(A950-K950,0)</f>
        <v>467500</v>
      </c>
      <c r="M950" s="11" t="n">
        <f aca="false">SUMPRODUCT((L950&gt;'Tax Tables'!$A$5:$A$17)*(L950-'Tax Tables'!$A$5:$A$17)*'Tax Tables'!$C$5:$C$17)</f>
        <v>77000</v>
      </c>
      <c r="N950" s="11" t="n">
        <f aca="false">IF(H950&lt;0,-1E+099,A950-E950-M950+J950+(E950+F950)*Calculator!$B$9)</f>
        <v>-1E+099</v>
      </c>
      <c r="O950" s="2"/>
      <c r="P950" s="11" t="n">
        <f aca="false">937*$B$3</f>
        <v>468500</v>
      </c>
      <c r="Q950" s="11" t="n">
        <f aca="false">MIN(P950,'Tax Tables'!$B$31*'Tax Tables'!$B$32)</f>
        <v>96000</v>
      </c>
      <c r="R950" s="11" t="n">
        <f aca="false">P950-Q950</f>
        <v>372500</v>
      </c>
      <c r="S950" s="11" t="n">
        <f aca="false">IF(Calculator!$B$6="Yes",MIN(Q950,'Tax Tables'!$B$31*'Tax Tables'!$B$32),0)</f>
        <v>96000</v>
      </c>
      <c r="T950" s="11" t="n">
        <f aca="false">S950*Calculator!$B$7</f>
        <v>19200</v>
      </c>
      <c r="U950" s="11" t="n">
        <f aca="false">S950*Calculator!$B$8</f>
        <v>16320</v>
      </c>
      <c r="V950" s="11" t="n">
        <f aca="false">IF(Q950&gt;0,'Tax Tables'!$B$32*MIN(MAX(Q950/'Tax Tables'!$B$32*'Tax Tables'!$B$33,'Tax Tables'!$B$34),'Tax Tables'!$B$35),0)</f>
        <v>135</v>
      </c>
      <c r="W950" s="11" t="n">
        <f aca="false">Calculator!$B$5-P950-U950-V950</f>
        <v>-84955</v>
      </c>
      <c r="X950" s="11" t="n">
        <f aca="false">'Tax Tables'!$B$22*(MAX(W950,0)-IF(Calculator!$B$10="Yes",MIN(MAX(W950,0),'Tax Tables'!$B$27)*'Tax Tables'!$B$28+MIN(MAX(MAX(W950,0)-'Tax Tables'!$B$27,0),'Tax Tables'!$B$29)*'Tax Tables'!$B$30,MIN(MAX(W950,0),'Tax Tables'!$B$23)*'Tax Tables'!$B$24+MIN(MAX(MAX(W950,0)-'Tax Tables'!$B$23,0),'Tax Tables'!$B$25)*'Tax Tables'!$B$26))*1-MIN('Tax Tables'!$B$22*(MAX(W950,0)-IF(Calculator!$B$10="Yes",MIN(MAX(W950,0),'Tax Tables'!$B$27)*'Tax Tables'!$B$28+MIN(MAX(MAX(W950,0)-'Tax Tables'!$B$27,0),'Tax Tables'!$B$29)*'Tax Tables'!$B$30,MIN(MAX(W950,0),'Tax Tables'!$B$23)*'Tax Tables'!$B$24+MIN(MAX(MAX(W950,0)-'Tax Tables'!$B$23,0),'Tax Tables'!$B$25)*'Tax Tables'!$B$26))*Calculator!$B$11,Calculator!$B$12)</f>
        <v>0</v>
      </c>
      <c r="Y950" s="11" t="n">
        <f aca="false">MAX(W950,0)-X950</f>
        <v>0</v>
      </c>
      <c r="Z950" s="11" t="n">
        <f aca="false">MIN(IF(P950&gt;0,Calculator!$B$13,0)+T950+Calculator!$B$14,'Tax Tables'!$B$36)</f>
        <v>20200</v>
      </c>
      <c r="AA950" s="11" t="n">
        <f aca="false">MAX(P950-Z950,0)</f>
        <v>448300</v>
      </c>
      <c r="AB950" s="11" t="n">
        <f aca="false">SUMPRODUCT((AA950&gt;'Tax Tables'!$A$5:$A$17)*(AA950-'Tax Tables'!$A$5:$A$17)*'Tax Tables'!$C$5:$C$17)</f>
        <v>72776</v>
      </c>
      <c r="AC950" s="11" t="n">
        <f aca="false">IF(W950&lt;0,-1E+099,P950-T950-AB950+Y950+(T950+U950)*Calculator!$B$9)</f>
        <v>-1E+099</v>
      </c>
    </row>
    <row r="951" customFormat="false" ht="15" hidden="false" customHeight="false" outlineLevel="0" collapsed="false">
      <c r="A951" s="11" t="n">
        <f aca="false">938*$B$3</f>
        <v>469000</v>
      </c>
      <c r="B951" s="11" t="n">
        <f aca="false">0</f>
        <v>0</v>
      </c>
      <c r="C951" s="11" t="n">
        <f aca="false">A951-B951</f>
        <v>469000</v>
      </c>
      <c r="D951" s="11" t="n">
        <f aca="false">IF(Calculator!$B$6="Yes",MIN(B951,'Tax Tables'!$B$31*'Tax Tables'!$B$32),0)</f>
        <v>0</v>
      </c>
      <c r="E951" s="11" t="n">
        <f aca="false">D951*Calculator!$B$7</f>
        <v>0</v>
      </c>
      <c r="F951" s="11" t="n">
        <f aca="false">D951*Calculator!$B$8</f>
        <v>0</v>
      </c>
      <c r="G951" s="11" t="n">
        <f aca="false">IF(B951&gt;0,'Tax Tables'!$B$32*MIN(MAX(B951/'Tax Tables'!$B$32*'Tax Tables'!$B$33,'Tax Tables'!$B$34),'Tax Tables'!$B$35),0)</f>
        <v>0</v>
      </c>
      <c r="H951" s="11" t="n">
        <f aca="false">Calculator!$B$5-A951-F951-G951</f>
        <v>-69000</v>
      </c>
      <c r="I951" s="11" t="n">
        <f aca="false">'Tax Tables'!$B$22*(MAX(H951,0)-IF(Calculator!$B$10="Yes",MIN(MAX(H951,0),'Tax Tables'!$B$27)*'Tax Tables'!$B$28+MIN(MAX(MAX(H951,0)-'Tax Tables'!$B$27,0),'Tax Tables'!$B$29)*'Tax Tables'!$B$30,MIN(MAX(H951,0),'Tax Tables'!$B$23)*'Tax Tables'!$B$24+MIN(MAX(MAX(H951,0)-'Tax Tables'!$B$23,0),'Tax Tables'!$B$25)*'Tax Tables'!$B$26))*1-MIN('Tax Tables'!$B$22*(MAX(H951,0)-IF(Calculator!$B$10="Yes",MIN(MAX(H951,0),'Tax Tables'!$B$27)*'Tax Tables'!$B$28+MIN(MAX(MAX(H951,0)-'Tax Tables'!$B$27,0),'Tax Tables'!$B$29)*'Tax Tables'!$B$30,MIN(MAX(H951,0),'Tax Tables'!$B$23)*'Tax Tables'!$B$24+MIN(MAX(MAX(H951,0)-'Tax Tables'!$B$23,0),'Tax Tables'!$B$25)*'Tax Tables'!$B$26))*Calculator!$B$11,Calculator!$B$12)</f>
        <v>0</v>
      </c>
      <c r="J951" s="11" t="n">
        <f aca="false">MAX(H951,0)-I951</f>
        <v>0</v>
      </c>
      <c r="K951" s="11" t="n">
        <f aca="false">MIN(IF(A951&gt;0,Calculator!$B$13,0)+E951+Calculator!$B$14,'Tax Tables'!$B$36)</f>
        <v>1000</v>
      </c>
      <c r="L951" s="11" t="n">
        <f aca="false">MAX(A951-K951,0)</f>
        <v>468000</v>
      </c>
      <c r="M951" s="11" t="n">
        <f aca="false">SUMPRODUCT((L951&gt;'Tax Tables'!$A$5:$A$17)*(L951-'Tax Tables'!$A$5:$A$17)*'Tax Tables'!$C$5:$C$17)</f>
        <v>77110</v>
      </c>
      <c r="N951" s="11" t="n">
        <f aca="false">IF(H951&lt;0,-1E+099,A951-E951-M951+J951+(E951+F951)*Calculator!$B$9)</f>
        <v>-1E+099</v>
      </c>
      <c r="O951" s="2"/>
      <c r="P951" s="11" t="n">
        <f aca="false">938*$B$3</f>
        <v>469000</v>
      </c>
      <c r="Q951" s="11" t="n">
        <f aca="false">MIN(P951,'Tax Tables'!$B$31*'Tax Tables'!$B$32)</f>
        <v>96000</v>
      </c>
      <c r="R951" s="11" t="n">
        <f aca="false">P951-Q951</f>
        <v>373000</v>
      </c>
      <c r="S951" s="11" t="n">
        <f aca="false">IF(Calculator!$B$6="Yes",MIN(Q951,'Tax Tables'!$B$31*'Tax Tables'!$B$32),0)</f>
        <v>96000</v>
      </c>
      <c r="T951" s="11" t="n">
        <f aca="false">S951*Calculator!$B$7</f>
        <v>19200</v>
      </c>
      <c r="U951" s="11" t="n">
        <f aca="false">S951*Calculator!$B$8</f>
        <v>16320</v>
      </c>
      <c r="V951" s="11" t="n">
        <f aca="false">IF(Q951&gt;0,'Tax Tables'!$B$32*MIN(MAX(Q951/'Tax Tables'!$B$32*'Tax Tables'!$B$33,'Tax Tables'!$B$34),'Tax Tables'!$B$35),0)</f>
        <v>135</v>
      </c>
      <c r="W951" s="11" t="n">
        <f aca="false">Calculator!$B$5-P951-U951-V951</f>
        <v>-85455</v>
      </c>
      <c r="X951" s="11" t="n">
        <f aca="false">'Tax Tables'!$B$22*(MAX(W951,0)-IF(Calculator!$B$10="Yes",MIN(MAX(W951,0),'Tax Tables'!$B$27)*'Tax Tables'!$B$28+MIN(MAX(MAX(W951,0)-'Tax Tables'!$B$27,0),'Tax Tables'!$B$29)*'Tax Tables'!$B$30,MIN(MAX(W951,0),'Tax Tables'!$B$23)*'Tax Tables'!$B$24+MIN(MAX(MAX(W951,0)-'Tax Tables'!$B$23,0),'Tax Tables'!$B$25)*'Tax Tables'!$B$26))*1-MIN('Tax Tables'!$B$22*(MAX(W951,0)-IF(Calculator!$B$10="Yes",MIN(MAX(W951,0),'Tax Tables'!$B$27)*'Tax Tables'!$B$28+MIN(MAX(MAX(W951,0)-'Tax Tables'!$B$27,0),'Tax Tables'!$B$29)*'Tax Tables'!$B$30,MIN(MAX(W951,0),'Tax Tables'!$B$23)*'Tax Tables'!$B$24+MIN(MAX(MAX(W951,0)-'Tax Tables'!$B$23,0),'Tax Tables'!$B$25)*'Tax Tables'!$B$26))*Calculator!$B$11,Calculator!$B$12)</f>
        <v>0</v>
      </c>
      <c r="Y951" s="11" t="n">
        <f aca="false">MAX(W951,0)-X951</f>
        <v>0</v>
      </c>
      <c r="Z951" s="11" t="n">
        <f aca="false">MIN(IF(P951&gt;0,Calculator!$B$13,0)+T951+Calculator!$B$14,'Tax Tables'!$B$36)</f>
        <v>20200</v>
      </c>
      <c r="AA951" s="11" t="n">
        <f aca="false">MAX(P951-Z951,0)</f>
        <v>448800</v>
      </c>
      <c r="AB951" s="11" t="n">
        <f aca="false">SUMPRODUCT((AA951&gt;'Tax Tables'!$A$5:$A$17)*(AA951-'Tax Tables'!$A$5:$A$17)*'Tax Tables'!$C$5:$C$17)</f>
        <v>72886</v>
      </c>
      <c r="AC951" s="11" t="n">
        <f aca="false">IF(W951&lt;0,-1E+099,P951-T951-AB951+Y951+(T951+U951)*Calculator!$B$9)</f>
        <v>-1E+099</v>
      </c>
    </row>
    <row r="952" customFormat="false" ht="15" hidden="false" customHeight="false" outlineLevel="0" collapsed="false">
      <c r="A952" s="11" t="n">
        <f aca="false">939*$B$3</f>
        <v>469500</v>
      </c>
      <c r="B952" s="11" t="n">
        <f aca="false">0</f>
        <v>0</v>
      </c>
      <c r="C952" s="11" t="n">
        <f aca="false">A952-B952</f>
        <v>469500</v>
      </c>
      <c r="D952" s="11" t="n">
        <f aca="false">IF(Calculator!$B$6="Yes",MIN(B952,'Tax Tables'!$B$31*'Tax Tables'!$B$32),0)</f>
        <v>0</v>
      </c>
      <c r="E952" s="11" t="n">
        <f aca="false">D952*Calculator!$B$7</f>
        <v>0</v>
      </c>
      <c r="F952" s="11" t="n">
        <f aca="false">D952*Calculator!$B$8</f>
        <v>0</v>
      </c>
      <c r="G952" s="11" t="n">
        <f aca="false">IF(B952&gt;0,'Tax Tables'!$B$32*MIN(MAX(B952/'Tax Tables'!$B$32*'Tax Tables'!$B$33,'Tax Tables'!$B$34),'Tax Tables'!$B$35),0)</f>
        <v>0</v>
      </c>
      <c r="H952" s="11" t="n">
        <f aca="false">Calculator!$B$5-A952-F952-G952</f>
        <v>-69500</v>
      </c>
      <c r="I952" s="11" t="n">
        <f aca="false">'Tax Tables'!$B$22*(MAX(H952,0)-IF(Calculator!$B$10="Yes",MIN(MAX(H952,0),'Tax Tables'!$B$27)*'Tax Tables'!$B$28+MIN(MAX(MAX(H952,0)-'Tax Tables'!$B$27,0),'Tax Tables'!$B$29)*'Tax Tables'!$B$30,MIN(MAX(H952,0),'Tax Tables'!$B$23)*'Tax Tables'!$B$24+MIN(MAX(MAX(H952,0)-'Tax Tables'!$B$23,0),'Tax Tables'!$B$25)*'Tax Tables'!$B$26))*1-MIN('Tax Tables'!$B$22*(MAX(H952,0)-IF(Calculator!$B$10="Yes",MIN(MAX(H952,0),'Tax Tables'!$B$27)*'Tax Tables'!$B$28+MIN(MAX(MAX(H952,0)-'Tax Tables'!$B$27,0),'Tax Tables'!$B$29)*'Tax Tables'!$B$30,MIN(MAX(H952,0),'Tax Tables'!$B$23)*'Tax Tables'!$B$24+MIN(MAX(MAX(H952,0)-'Tax Tables'!$B$23,0),'Tax Tables'!$B$25)*'Tax Tables'!$B$26))*Calculator!$B$11,Calculator!$B$12)</f>
        <v>0</v>
      </c>
      <c r="J952" s="11" t="n">
        <f aca="false">MAX(H952,0)-I952</f>
        <v>0</v>
      </c>
      <c r="K952" s="11" t="n">
        <f aca="false">MIN(IF(A952&gt;0,Calculator!$B$13,0)+E952+Calculator!$B$14,'Tax Tables'!$B$36)</f>
        <v>1000</v>
      </c>
      <c r="L952" s="11" t="n">
        <f aca="false">MAX(A952-K952,0)</f>
        <v>468500</v>
      </c>
      <c r="M952" s="11" t="n">
        <f aca="false">SUMPRODUCT((L952&gt;'Tax Tables'!$A$5:$A$17)*(L952-'Tax Tables'!$A$5:$A$17)*'Tax Tables'!$C$5:$C$17)</f>
        <v>77220</v>
      </c>
      <c r="N952" s="11" t="n">
        <f aca="false">IF(H952&lt;0,-1E+099,A952-E952-M952+J952+(E952+F952)*Calculator!$B$9)</f>
        <v>-1E+099</v>
      </c>
      <c r="O952" s="2"/>
      <c r="P952" s="11" t="n">
        <f aca="false">939*$B$3</f>
        <v>469500</v>
      </c>
      <c r="Q952" s="11" t="n">
        <f aca="false">MIN(P952,'Tax Tables'!$B$31*'Tax Tables'!$B$32)</f>
        <v>96000</v>
      </c>
      <c r="R952" s="11" t="n">
        <f aca="false">P952-Q952</f>
        <v>373500</v>
      </c>
      <c r="S952" s="11" t="n">
        <f aca="false">IF(Calculator!$B$6="Yes",MIN(Q952,'Tax Tables'!$B$31*'Tax Tables'!$B$32),0)</f>
        <v>96000</v>
      </c>
      <c r="T952" s="11" t="n">
        <f aca="false">S952*Calculator!$B$7</f>
        <v>19200</v>
      </c>
      <c r="U952" s="11" t="n">
        <f aca="false">S952*Calculator!$B$8</f>
        <v>16320</v>
      </c>
      <c r="V952" s="11" t="n">
        <f aca="false">IF(Q952&gt;0,'Tax Tables'!$B$32*MIN(MAX(Q952/'Tax Tables'!$B$32*'Tax Tables'!$B$33,'Tax Tables'!$B$34),'Tax Tables'!$B$35),0)</f>
        <v>135</v>
      </c>
      <c r="W952" s="11" t="n">
        <f aca="false">Calculator!$B$5-P952-U952-V952</f>
        <v>-85955</v>
      </c>
      <c r="X952" s="11" t="n">
        <f aca="false">'Tax Tables'!$B$22*(MAX(W952,0)-IF(Calculator!$B$10="Yes",MIN(MAX(W952,0),'Tax Tables'!$B$27)*'Tax Tables'!$B$28+MIN(MAX(MAX(W952,0)-'Tax Tables'!$B$27,0),'Tax Tables'!$B$29)*'Tax Tables'!$B$30,MIN(MAX(W952,0),'Tax Tables'!$B$23)*'Tax Tables'!$B$24+MIN(MAX(MAX(W952,0)-'Tax Tables'!$B$23,0),'Tax Tables'!$B$25)*'Tax Tables'!$B$26))*1-MIN('Tax Tables'!$B$22*(MAX(W952,0)-IF(Calculator!$B$10="Yes",MIN(MAX(W952,0),'Tax Tables'!$B$27)*'Tax Tables'!$B$28+MIN(MAX(MAX(W952,0)-'Tax Tables'!$B$27,0),'Tax Tables'!$B$29)*'Tax Tables'!$B$30,MIN(MAX(W952,0),'Tax Tables'!$B$23)*'Tax Tables'!$B$24+MIN(MAX(MAX(W952,0)-'Tax Tables'!$B$23,0),'Tax Tables'!$B$25)*'Tax Tables'!$B$26))*Calculator!$B$11,Calculator!$B$12)</f>
        <v>0</v>
      </c>
      <c r="Y952" s="11" t="n">
        <f aca="false">MAX(W952,0)-X952</f>
        <v>0</v>
      </c>
      <c r="Z952" s="11" t="n">
        <f aca="false">MIN(IF(P952&gt;0,Calculator!$B$13,0)+T952+Calculator!$B$14,'Tax Tables'!$B$36)</f>
        <v>20200</v>
      </c>
      <c r="AA952" s="11" t="n">
        <f aca="false">MAX(P952-Z952,0)</f>
        <v>449300</v>
      </c>
      <c r="AB952" s="11" t="n">
        <f aca="false">SUMPRODUCT((AA952&gt;'Tax Tables'!$A$5:$A$17)*(AA952-'Tax Tables'!$A$5:$A$17)*'Tax Tables'!$C$5:$C$17)</f>
        <v>72996</v>
      </c>
      <c r="AC952" s="11" t="n">
        <f aca="false">IF(W952&lt;0,-1E+099,P952-T952-AB952+Y952+(T952+U952)*Calculator!$B$9)</f>
        <v>-1E+099</v>
      </c>
    </row>
    <row r="953" customFormat="false" ht="15" hidden="false" customHeight="false" outlineLevel="0" collapsed="false">
      <c r="A953" s="11" t="n">
        <f aca="false">940*$B$3</f>
        <v>470000</v>
      </c>
      <c r="B953" s="11" t="n">
        <f aca="false">0</f>
        <v>0</v>
      </c>
      <c r="C953" s="11" t="n">
        <f aca="false">A953-B953</f>
        <v>470000</v>
      </c>
      <c r="D953" s="11" t="n">
        <f aca="false">IF(Calculator!$B$6="Yes",MIN(B953,'Tax Tables'!$B$31*'Tax Tables'!$B$32),0)</f>
        <v>0</v>
      </c>
      <c r="E953" s="11" t="n">
        <f aca="false">D953*Calculator!$B$7</f>
        <v>0</v>
      </c>
      <c r="F953" s="11" t="n">
        <f aca="false">D953*Calculator!$B$8</f>
        <v>0</v>
      </c>
      <c r="G953" s="11" t="n">
        <f aca="false">IF(B953&gt;0,'Tax Tables'!$B$32*MIN(MAX(B953/'Tax Tables'!$B$32*'Tax Tables'!$B$33,'Tax Tables'!$B$34),'Tax Tables'!$B$35),0)</f>
        <v>0</v>
      </c>
      <c r="H953" s="11" t="n">
        <f aca="false">Calculator!$B$5-A953-F953-G953</f>
        <v>-70000</v>
      </c>
      <c r="I953" s="11" t="n">
        <f aca="false">'Tax Tables'!$B$22*(MAX(H953,0)-IF(Calculator!$B$10="Yes",MIN(MAX(H953,0),'Tax Tables'!$B$27)*'Tax Tables'!$B$28+MIN(MAX(MAX(H953,0)-'Tax Tables'!$B$27,0),'Tax Tables'!$B$29)*'Tax Tables'!$B$30,MIN(MAX(H953,0),'Tax Tables'!$B$23)*'Tax Tables'!$B$24+MIN(MAX(MAX(H953,0)-'Tax Tables'!$B$23,0),'Tax Tables'!$B$25)*'Tax Tables'!$B$26))*1-MIN('Tax Tables'!$B$22*(MAX(H953,0)-IF(Calculator!$B$10="Yes",MIN(MAX(H953,0),'Tax Tables'!$B$27)*'Tax Tables'!$B$28+MIN(MAX(MAX(H953,0)-'Tax Tables'!$B$27,0),'Tax Tables'!$B$29)*'Tax Tables'!$B$30,MIN(MAX(H953,0),'Tax Tables'!$B$23)*'Tax Tables'!$B$24+MIN(MAX(MAX(H953,0)-'Tax Tables'!$B$23,0),'Tax Tables'!$B$25)*'Tax Tables'!$B$26))*Calculator!$B$11,Calculator!$B$12)</f>
        <v>0</v>
      </c>
      <c r="J953" s="11" t="n">
        <f aca="false">MAX(H953,0)-I953</f>
        <v>0</v>
      </c>
      <c r="K953" s="11" t="n">
        <f aca="false">MIN(IF(A953&gt;0,Calculator!$B$13,0)+E953+Calculator!$B$14,'Tax Tables'!$B$36)</f>
        <v>1000</v>
      </c>
      <c r="L953" s="11" t="n">
        <f aca="false">MAX(A953-K953,0)</f>
        <v>469000</v>
      </c>
      <c r="M953" s="11" t="n">
        <f aca="false">SUMPRODUCT((L953&gt;'Tax Tables'!$A$5:$A$17)*(L953-'Tax Tables'!$A$5:$A$17)*'Tax Tables'!$C$5:$C$17)</f>
        <v>77330</v>
      </c>
      <c r="N953" s="11" t="n">
        <f aca="false">IF(H953&lt;0,-1E+099,A953-E953-M953+J953+(E953+F953)*Calculator!$B$9)</f>
        <v>-1E+099</v>
      </c>
      <c r="O953" s="2"/>
      <c r="P953" s="11" t="n">
        <f aca="false">940*$B$3</f>
        <v>470000</v>
      </c>
      <c r="Q953" s="11" t="n">
        <f aca="false">MIN(P953,'Tax Tables'!$B$31*'Tax Tables'!$B$32)</f>
        <v>96000</v>
      </c>
      <c r="R953" s="11" t="n">
        <f aca="false">P953-Q953</f>
        <v>374000</v>
      </c>
      <c r="S953" s="11" t="n">
        <f aca="false">IF(Calculator!$B$6="Yes",MIN(Q953,'Tax Tables'!$B$31*'Tax Tables'!$B$32),0)</f>
        <v>96000</v>
      </c>
      <c r="T953" s="11" t="n">
        <f aca="false">S953*Calculator!$B$7</f>
        <v>19200</v>
      </c>
      <c r="U953" s="11" t="n">
        <f aca="false">S953*Calculator!$B$8</f>
        <v>16320</v>
      </c>
      <c r="V953" s="11" t="n">
        <f aca="false">IF(Q953&gt;0,'Tax Tables'!$B$32*MIN(MAX(Q953/'Tax Tables'!$B$32*'Tax Tables'!$B$33,'Tax Tables'!$B$34),'Tax Tables'!$B$35),0)</f>
        <v>135</v>
      </c>
      <c r="W953" s="11" t="n">
        <f aca="false">Calculator!$B$5-P953-U953-V953</f>
        <v>-86455</v>
      </c>
      <c r="X953" s="11" t="n">
        <f aca="false">'Tax Tables'!$B$22*(MAX(W953,0)-IF(Calculator!$B$10="Yes",MIN(MAX(W953,0),'Tax Tables'!$B$27)*'Tax Tables'!$B$28+MIN(MAX(MAX(W953,0)-'Tax Tables'!$B$27,0),'Tax Tables'!$B$29)*'Tax Tables'!$B$30,MIN(MAX(W953,0),'Tax Tables'!$B$23)*'Tax Tables'!$B$24+MIN(MAX(MAX(W953,0)-'Tax Tables'!$B$23,0),'Tax Tables'!$B$25)*'Tax Tables'!$B$26))*1-MIN('Tax Tables'!$B$22*(MAX(W953,0)-IF(Calculator!$B$10="Yes",MIN(MAX(W953,0),'Tax Tables'!$B$27)*'Tax Tables'!$B$28+MIN(MAX(MAX(W953,0)-'Tax Tables'!$B$27,0),'Tax Tables'!$B$29)*'Tax Tables'!$B$30,MIN(MAX(W953,0),'Tax Tables'!$B$23)*'Tax Tables'!$B$24+MIN(MAX(MAX(W953,0)-'Tax Tables'!$B$23,0),'Tax Tables'!$B$25)*'Tax Tables'!$B$26))*Calculator!$B$11,Calculator!$B$12)</f>
        <v>0</v>
      </c>
      <c r="Y953" s="11" t="n">
        <f aca="false">MAX(W953,0)-X953</f>
        <v>0</v>
      </c>
      <c r="Z953" s="11" t="n">
        <f aca="false">MIN(IF(P953&gt;0,Calculator!$B$13,0)+T953+Calculator!$B$14,'Tax Tables'!$B$36)</f>
        <v>20200</v>
      </c>
      <c r="AA953" s="11" t="n">
        <f aca="false">MAX(P953-Z953,0)</f>
        <v>449800</v>
      </c>
      <c r="AB953" s="11" t="n">
        <f aca="false">SUMPRODUCT((AA953&gt;'Tax Tables'!$A$5:$A$17)*(AA953-'Tax Tables'!$A$5:$A$17)*'Tax Tables'!$C$5:$C$17)</f>
        <v>73106</v>
      </c>
      <c r="AC953" s="11" t="n">
        <f aca="false">IF(W953&lt;0,-1E+099,P953-T953-AB953+Y953+(T953+U953)*Calculator!$B$9)</f>
        <v>-1E+099</v>
      </c>
    </row>
    <row r="954" customFormat="false" ht="15" hidden="false" customHeight="false" outlineLevel="0" collapsed="false">
      <c r="A954" s="11" t="n">
        <f aca="false">941*$B$3</f>
        <v>470500</v>
      </c>
      <c r="B954" s="11" t="n">
        <f aca="false">0</f>
        <v>0</v>
      </c>
      <c r="C954" s="11" t="n">
        <f aca="false">A954-B954</f>
        <v>470500</v>
      </c>
      <c r="D954" s="11" t="n">
        <f aca="false">IF(Calculator!$B$6="Yes",MIN(B954,'Tax Tables'!$B$31*'Tax Tables'!$B$32),0)</f>
        <v>0</v>
      </c>
      <c r="E954" s="11" t="n">
        <f aca="false">D954*Calculator!$B$7</f>
        <v>0</v>
      </c>
      <c r="F954" s="11" t="n">
        <f aca="false">D954*Calculator!$B$8</f>
        <v>0</v>
      </c>
      <c r="G954" s="11" t="n">
        <f aca="false">IF(B954&gt;0,'Tax Tables'!$B$32*MIN(MAX(B954/'Tax Tables'!$B$32*'Tax Tables'!$B$33,'Tax Tables'!$B$34),'Tax Tables'!$B$35),0)</f>
        <v>0</v>
      </c>
      <c r="H954" s="11" t="n">
        <f aca="false">Calculator!$B$5-A954-F954-G954</f>
        <v>-70500</v>
      </c>
      <c r="I954" s="11" t="n">
        <f aca="false">'Tax Tables'!$B$22*(MAX(H954,0)-IF(Calculator!$B$10="Yes",MIN(MAX(H954,0),'Tax Tables'!$B$27)*'Tax Tables'!$B$28+MIN(MAX(MAX(H954,0)-'Tax Tables'!$B$27,0),'Tax Tables'!$B$29)*'Tax Tables'!$B$30,MIN(MAX(H954,0),'Tax Tables'!$B$23)*'Tax Tables'!$B$24+MIN(MAX(MAX(H954,0)-'Tax Tables'!$B$23,0),'Tax Tables'!$B$25)*'Tax Tables'!$B$26))*1-MIN('Tax Tables'!$B$22*(MAX(H954,0)-IF(Calculator!$B$10="Yes",MIN(MAX(H954,0),'Tax Tables'!$B$27)*'Tax Tables'!$B$28+MIN(MAX(MAX(H954,0)-'Tax Tables'!$B$27,0),'Tax Tables'!$B$29)*'Tax Tables'!$B$30,MIN(MAX(H954,0),'Tax Tables'!$B$23)*'Tax Tables'!$B$24+MIN(MAX(MAX(H954,0)-'Tax Tables'!$B$23,0),'Tax Tables'!$B$25)*'Tax Tables'!$B$26))*Calculator!$B$11,Calculator!$B$12)</f>
        <v>0</v>
      </c>
      <c r="J954" s="11" t="n">
        <f aca="false">MAX(H954,0)-I954</f>
        <v>0</v>
      </c>
      <c r="K954" s="11" t="n">
        <f aca="false">MIN(IF(A954&gt;0,Calculator!$B$13,0)+E954+Calculator!$B$14,'Tax Tables'!$B$36)</f>
        <v>1000</v>
      </c>
      <c r="L954" s="11" t="n">
        <f aca="false">MAX(A954-K954,0)</f>
        <v>469500</v>
      </c>
      <c r="M954" s="11" t="n">
        <f aca="false">SUMPRODUCT((L954&gt;'Tax Tables'!$A$5:$A$17)*(L954-'Tax Tables'!$A$5:$A$17)*'Tax Tables'!$C$5:$C$17)</f>
        <v>77440</v>
      </c>
      <c r="N954" s="11" t="n">
        <f aca="false">IF(H954&lt;0,-1E+099,A954-E954-M954+J954+(E954+F954)*Calculator!$B$9)</f>
        <v>-1E+099</v>
      </c>
      <c r="O954" s="2"/>
      <c r="P954" s="11" t="n">
        <f aca="false">941*$B$3</f>
        <v>470500</v>
      </c>
      <c r="Q954" s="11" t="n">
        <f aca="false">MIN(P954,'Tax Tables'!$B$31*'Tax Tables'!$B$32)</f>
        <v>96000</v>
      </c>
      <c r="R954" s="11" t="n">
        <f aca="false">P954-Q954</f>
        <v>374500</v>
      </c>
      <c r="S954" s="11" t="n">
        <f aca="false">IF(Calculator!$B$6="Yes",MIN(Q954,'Tax Tables'!$B$31*'Tax Tables'!$B$32),0)</f>
        <v>96000</v>
      </c>
      <c r="T954" s="11" t="n">
        <f aca="false">S954*Calculator!$B$7</f>
        <v>19200</v>
      </c>
      <c r="U954" s="11" t="n">
        <f aca="false">S954*Calculator!$B$8</f>
        <v>16320</v>
      </c>
      <c r="V954" s="11" t="n">
        <f aca="false">IF(Q954&gt;0,'Tax Tables'!$B$32*MIN(MAX(Q954/'Tax Tables'!$B$32*'Tax Tables'!$B$33,'Tax Tables'!$B$34),'Tax Tables'!$B$35),0)</f>
        <v>135</v>
      </c>
      <c r="W954" s="11" t="n">
        <f aca="false">Calculator!$B$5-P954-U954-V954</f>
        <v>-86955</v>
      </c>
      <c r="X954" s="11" t="n">
        <f aca="false">'Tax Tables'!$B$22*(MAX(W954,0)-IF(Calculator!$B$10="Yes",MIN(MAX(W954,0),'Tax Tables'!$B$27)*'Tax Tables'!$B$28+MIN(MAX(MAX(W954,0)-'Tax Tables'!$B$27,0),'Tax Tables'!$B$29)*'Tax Tables'!$B$30,MIN(MAX(W954,0),'Tax Tables'!$B$23)*'Tax Tables'!$B$24+MIN(MAX(MAX(W954,0)-'Tax Tables'!$B$23,0),'Tax Tables'!$B$25)*'Tax Tables'!$B$26))*1-MIN('Tax Tables'!$B$22*(MAX(W954,0)-IF(Calculator!$B$10="Yes",MIN(MAX(W954,0),'Tax Tables'!$B$27)*'Tax Tables'!$B$28+MIN(MAX(MAX(W954,0)-'Tax Tables'!$B$27,0),'Tax Tables'!$B$29)*'Tax Tables'!$B$30,MIN(MAX(W954,0),'Tax Tables'!$B$23)*'Tax Tables'!$B$24+MIN(MAX(MAX(W954,0)-'Tax Tables'!$B$23,0),'Tax Tables'!$B$25)*'Tax Tables'!$B$26))*Calculator!$B$11,Calculator!$B$12)</f>
        <v>0</v>
      </c>
      <c r="Y954" s="11" t="n">
        <f aca="false">MAX(W954,0)-X954</f>
        <v>0</v>
      </c>
      <c r="Z954" s="11" t="n">
        <f aca="false">MIN(IF(P954&gt;0,Calculator!$B$13,0)+T954+Calculator!$B$14,'Tax Tables'!$B$36)</f>
        <v>20200</v>
      </c>
      <c r="AA954" s="11" t="n">
        <f aca="false">MAX(P954-Z954,0)</f>
        <v>450300</v>
      </c>
      <c r="AB954" s="11" t="n">
        <f aca="false">SUMPRODUCT((AA954&gt;'Tax Tables'!$A$5:$A$17)*(AA954-'Tax Tables'!$A$5:$A$17)*'Tax Tables'!$C$5:$C$17)</f>
        <v>73216</v>
      </c>
      <c r="AC954" s="11" t="n">
        <f aca="false">IF(W954&lt;0,-1E+099,P954-T954-AB954+Y954+(T954+U954)*Calculator!$B$9)</f>
        <v>-1E+099</v>
      </c>
    </row>
    <row r="955" customFormat="false" ht="15" hidden="false" customHeight="false" outlineLevel="0" collapsed="false">
      <c r="A955" s="11" t="n">
        <f aca="false">942*$B$3</f>
        <v>471000</v>
      </c>
      <c r="B955" s="11" t="n">
        <f aca="false">0</f>
        <v>0</v>
      </c>
      <c r="C955" s="11" t="n">
        <f aca="false">A955-B955</f>
        <v>471000</v>
      </c>
      <c r="D955" s="11" t="n">
        <f aca="false">IF(Calculator!$B$6="Yes",MIN(B955,'Tax Tables'!$B$31*'Tax Tables'!$B$32),0)</f>
        <v>0</v>
      </c>
      <c r="E955" s="11" t="n">
        <f aca="false">D955*Calculator!$B$7</f>
        <v>0</v>
      </c>
      <c r="F955" s="11" t="n">
        <f aca="false">D955*Calculator!$B$8</f>
        <v>0</v>
      </c>
      <c r="G955" s="11" t="n">
        <f aca="false">IF(B955&gt;0,'Tax Tables'!$B$32*MIN(MAX(B955/'Tax Tables'!$B$32*'Tax Tables'!$B$33,'Tax Tables'!$B$34),'Tax Tables'!$B$35),0)</f>
        <v>0</v>
      </c>
      <c r="H955" s="11" t="n">
        <f aca="false">Calculator!$B$5-A955-F955-G955</f>
        <v>-71000</v>
      </c>
      <c r="I955" s="11" t="n">
        <f aca="false">'Tax Tables'!$B$22*(MAX(H955,0)-IF(Calculator!$B$10="Yes",MIN(MAX(H955,0),'Tax Tables'!$B$27)*'Tax Tables'!$B$28+MIN(MAX(MAX(H955,0)-'Tax Tables'!$B$27,0),'Tax Tables'!$B$29)*'Tax Tables'!$B$30,MIN(MAX(H955,0),'Tax Tables'!$B$23)*'Tax Tables'!$B$24+MIN(MAX(MAX(H955,0)-'Tax Tables'!$B$23,0),'Tax Tables'!$B$25)*'Tax Tables'!$B$26))*1-MIN('Tax Tables'!$B$22*(MAX(H955,0)-IF(Calculator!$B$10="Yes",MIN(MAX(H955,0),'Tax Tables'!$B$27)*'Tax Tables'!$B$28+MIN(MAX(MAX(H955,0)-'Tax Tables'!$B$27,0),'Tax Tables'!$B$29)*'Tax Tables'!$B$30,MIN(MAX(H955,0),'Tax Tables'!$B$23)*'Tax Tables'!$B$24+MIN(MAX(MAX(H955,0)-'Tax Tables'!$B$23,0),'Tax Tables'!$B$25)*'Tax Tables'!$B$26))*Calculator!$B$11,Calculator!$B$12)</f>
        <v>0</v>
      </c>
      <c r="J955" s="11" t="n">
        <f aca="false">MAX(H955,0)-I955</f>
        <v>0</v>
      </c>
      <c r="K955" s="11" t="n">
        <f aca="false">MIN(IF(A955&gt;0,Calculator!$B$13,0)+E955+Calculator!$B$14,'Tax Tables'!$B$36)</f>
        <v>1000</v>
      </c>
      <c r="L955" s="11" t="n">
        <f aca="false">MAX(A955-K955,0)</f>
        <v>470000</v>
      </c>
      <c r="M955" s="11" t="n">
        <f aca="false">SUMPRODUCT((L955&gt;'Tax Tables'!$A$5:$A$17)*(L955-'Tax Tables'!$A$5:$A$17)*'Tax Tables'!$C$5:$C$17)</f>
        <v>77550</v>
      </c>
      <c r="N955" s="11" t="n">
        <f aca="false">IF(H955&lt;0,-1E+099,A955-E955-M955+J955+(E955+F955)*Calculator!$B$9)</f>
        <v>-1E+099</v>
      </c>
      <c r="O955" s="2"/>
      <c r="P955" s="11" t="n">
        <f aca="false">942*$B$3</f>
        <v>471000</v>
      </c>
      <c r="Q955" s="11" t="n">
        <f aca="false">MIN(P955,'Tax Tables'!$B$31*'Tax Tables'!$B$32)</f>
        <v>96000</v>
      </c>
      <c r="R955" s="11" t="n">
        <f aca="false">P955-Q955</f>
        <v>375000</v>
      </c>
      <c r="S955" s="11" t="n">
        <f aca="false">IF(Calculator!$B$6="Yes",MIN(Q955,'Tax Tables'!$B$31*'Tax Tables'!$B$32),0)</f>
        <v>96000</v>
      </c>
      <c r="T955" s="11" t="n">
        <f aca="false">S955*Calculator!$B$7</f>
        <v>19200</v>
      </c>
      <c r="U955" s="11" t="n">
        <f aca="false">S955*Calculator!$B$8</f>
        <v>16320</v>
      </c>
      <c r="V955" s="11" t="n">
        <f aca="false">IF(Q955&gt;0,'Tax Tables'!$B$32*MIN(MAX(Q955/'Tax Tables'!$B$32*'Tax Tables'!$B$33,'Tax Tables'!$B$34),'Tax Tables'!$B$35),0)</f>
        <v>135</v>
      </c>
      <c r="W955" s="11" t="n">
        <f aca="false">Calculator!$B$5-P955-U955-V955</f>
        <v>-87455</v>
      </c>
      <c r="X955" s="11" t="n">
        <f aca="false">'Tax Tables'!$B$22*(MAX(W955,0)-IF(Calculator!$B$10="Yes",MIN(MAX(W955,0),'Tax Tables'!$B$27)*'Tax Tables'!$B$28+MIN(MAX(MAX(W955,0)-'Tax Tables'!$B$27,0),'Tax Tables'!$B$29)*'Tax Tables'!$B$30,MIN(MAX(W955,0),'Tax Tables'!$B$23)*'Tax Tables'!$B$24+MIN(MAX(MAX(W955,0)-'Tax Tables'!$B$23,0),'Tax Tables'!$B$25)*'Tax Tables'!$B$26))*1-MIN('Tax Tables'!$B$22*(MAX(W955,0)-IF(Calculator!$B$10="Yes",MIN(MAX(W955,0),'Tax Tables'!$B$27)*'Tax Tables'!$B$28+MIN(MAX(MAX(W955,0)-'Tax Tables'!$B$27,0),'Tax Tables'!$B$29)*'Tax Tables'!$B$30,MIN(MAX(W955,0),'Tax Tables'!$B$23)*'Tax Tables'!$B$24+MIN(MAX(MAX(W955,0)-'Tax Tables'!$B$23,0),'Tax Tables'!$B$25)*'Tax Tables'!$B$26))*Calculator!$B$11,Calculator!$B$12)</f>
        <v>0</v>
      </c>
      <c r="Y955" s="11" t="n">
        <f aca="false">MAX(W955,0)-X955</f>
        <v>0</v>
      </c>
      <c r="Z955" s="11" t="n">
        <f aca="false">MIN(IF(P955&gt;0,Calculator!$B$13,0)+T955+Calculator!$B$14,'Tax Tables'!$B$36)</f>
        <v>20200</v>
      </c>
      <c r="AA955" s="11" t="n">
        <f aca="false">MAX(P955-Z955,0)</f>
        <v>450800</v>
      </c>
      <c r="AB955" s="11" t="n">
        <f aca="false">SUMPRODUCT((AA955&gt;'Tax Tables'!$A$5:$A$17)*(AA955-'Tax Tables'!$A$5:$A$17)*'Tax Tables'!$C$5:$C$17)</f>
        <v>73326</v>
      </c>
      <c r="AC955" s="11" t="n">
        <f aca="false">IF(W955&lt;0,-1E+099,P955-T955-AB955+Y955+(T955+U955)*Calculator!$B$9)</f>
        <v>-1E+099</v>
      </c>
    </row>
    <row r="956" customFormat="false" ht="15" hidden="false" customHeight="false" outlineLevel="0" collapsed="false">
      <c r="A956" s="11" t="n">
        <f aca="false">943*$B$3</f>
        <v>471500</v>
      </c>
      <c r="B956" s="11" t="n">
        <f aca="false">0</f>
        <v>0</v>
      </c>
      <c r="C956" s="11" t="n">
        <f aca="false">A956-B956</f>
        <v>471500</v>
      </c>
      <c r="D956" s="11" t="n">
        <f aca="false">IF(Calculator!$B$6="Yes",MIN(B956,'Tax Tables'!$B$31*'Tax Tables'!$B$32),0)</f>
        <v>0</v>
      </c>
      <c r="E956" s="11" t="n">
        <f aca="false">D956*Calculator!$B$7</f>
        <v>0</v>
      </c>
      <c r="F956" s="11" t="n">
        <f aca="false">D956*Calculator!$B$8</f>
        <v>0</v>
      </c>
      <c r="G956" s="11" t="n">
        <f aca="false">IF(B956&gt;0,'Tax Tables'!$B$32*MIN(MAX(B956/'Tax Tables'!$B$32*'Tax Tables'!$B$33,'Tax Tables'!$B$34),'Tax Tables'!$B$35),0)</f>
        <v>0</v>
      </c>
      <c r="H956" s="11" t="n">
        <f aca="false">Calculator!$B$5-A956-F956-G956</f>
        <v>-71500</v>
      </c>
      <c r="I956" s="11" t="n">
        <f aca="false">'Tax Tables'!$B$22*(MAX(H956,0)-IF(Calculator!$B$10="Yes",MIN(MAX(H956,0),'Tax Tables'!$B$27)*'Tax Tables'!$B$28+MIN(MAX(MAX(H956,0)-'Tax Tables'!$B$27,0),'Tax Tables'!$B$29)*'Tax Tables'!$B$30,MIN(MAX(H956,0),'Tax Tables'!$B$23)*'Tax Tables'!$B$24+MIN(MAX(MAX(H956,0)-'Tax Tables'!$B$23,0),'Tax Tables'!$B$25)*'Tax Tables'!$B$26))*1-MIN('Tax Tables'!$B$22*(MAX(H956,0)-IF(Calculator!$B$10="Yes",MIN(MAX(H956,0),'Tax Tables'!$B$27)*'Tax Tables'!$B$28+MIN(MAX(MAX(H956,0)-'Tax Tables'!$B$27,0),'Tax Tables'!$B$29)*'Tax Tables'!$B$30,MIN(MAX(H956,0),'Tax Tables'!$B$23)*'Tax Tables'!$B$24+MIN(MAX(MAX(H956,0)-'Tax Tables'!$B$23,0),'Tax Tables'!$B$25)*'Tax Tables'!$B$26))*Calculator!$B$11,Calculator!$B$12)</f>
        <v>0</v>
      </c>
      <c r="J956" s="11" t="n">
        <f aca="false">MAX(H956,0)-I956</f>
        <v>0</v>
      </c>
      <c r="K956" s="11" t="n">
        <f aca="false">MIN(IF(A956&gt;0,Calculator!$B$13,0)+E956+Calculator!$B$14,'Tax Tables'!$B$36)</f>
        <v>1000</v>
      </c>
      <c r="L956" s="11" t="n">
        <f aca="false">MAX(A956-K956,0)</f>
        <v>470500</v>
      </c>
      <c r="M956" s="11" t="n">
        <f aca="false">SUMPRODUCT((L956&gt;'Tax Tables'!$A$5:$A$17)*(L956-'Tax Tables'!$A$5:$A$17)*'Tax Tables'!$C$5:$C$17)</f>
        <v>77660</v>
      </c>
      <c r="N956" s="11" t="n">
        <f aca="false">IF(H956&lt;0,-1E+099,A956-E956-M956+J956+(E956+F956)*Calculator!$B$9)</f>
        <v>-1E+099</v>
      </c>
      <c r="O956" s="2"/>
      <c r="P956" s="11" t="n">
        <f aca="false">943*$B$3</f>
        <v>471500</v>
      </c>
      <c r="Q956" s="11" t="n">
        <f aca="false">MIN(P956,'Tax Tables'!$B$31*'Tax Tables'!$B$32)</f>
        <v>96000</v>
      </c>
      <c r="R956" s="11" t="n">
        <f aca="false">P956-Q956</f>
        <v>375500</v>
      </c>
      <c r="S956" s="11" t="n">
        <f aca="false">IF(Calculator!$B$6="Yes",MIN(Q956,'Tax Tables'!$B$31*'Tax Tables'!$B$32),0)</f>
        <v>96000</v>
      </c>
      <c r="T956" s="11" t="n">
        <f aca="false">S956*Calculator!$B$7</f>
        <v>19200</v>
      </c>
      <c r="U956" s="11" t="n">
        <f aca="false">S956*Calculator!$B$8</f>
        <v>16320</v>
      </c>
      <c r="V956" s="11" t="n">
        <f aca="false">IF(Q956&gt;0,'Tax Tables'!$B$32*MIN(MAX(Q956/'Tax Tables'!$B$32*'Tax Tables'!$B$33,'Tax Tables'!$B$34),'Tax Tables'!$B$35),0)</f>
        <v>135</v>
      </c>
      <c r="W956" s="11" t="n">
        <f aca="false">Calculator!$B$5-P956-U956-V956</f>
        <v>-87955</v>
      </c>
      <c r="X956" s="11" t="n">
        <f aca="false">'Tax Tables'!$B$22*(MAX(W956,0)-IF(Calculator!$B$10="Yes",MIN(MAX(W956,0),'Tax Tables'!$B$27)*'Tax Tables'!$B$28+MIN(MAX(MAX(W956,0)-'Tax Tables'!$B$27,0),'Tax Tables'!$B$29)*'Tax Tables'!$B$30,MIN(MAX(W956,0),'Tax Tables'!$B$23)*'Tax Tables'!$B$24+MIN(MAX(MAX(W956,0)-'Tax Tables'!$B$23,0),'Tax Tables'!$B$25)*'Tax Tables'!$B$26))*1-MIN('Tax Tables'!$B$22*(MAX(W956,0)-IF(Calculator!$B$10="Yes",MIN(MAX(W956,0),'Tax Tables'!$B$27)*'Tax Tables'!$B$28+MIN(MAX(MAX(W956,0)-'Tax Tables'!$B$27,0),'Tax Tables'!$B$29)*'Tax Tables'!$B$30,MIN(MAX(W956,0),'Tax Tables'!$B$23)*'Tax Tables'!$B$24+MIN(MAX(MAX(W956,0)-'Tax Tables'!$B$23,0),'Tax Tables'!$B$25)*'Tax Tables'!$B$26))*Calculator!$B$11,Calculator!$B$12)</f>
        <v>0</v>
      </c>
      <c r="Y956" s="11" t="n">
        <f aca="false">MAX(W956,0)-X956</f>
        <v>0</v>
      </c>
      <c r="Z956" s="11" t="n">
        <f aca="false">MIN(IF(P956&gt;0,Calculator!$B$13,0)+T956+Calculator!$B$14,'Tax Tables'!$B$36)</f>
        <v>20200</v>
      </c>
      <c r="AA956" s="11" t="n">
        <f aca="false">MAX(P956-Z956,0)</f>
        <v>451300</v>
      </c>
      <c r="AB956" s="11" t="n">
        <f aca="false">SUMPRODUCT((AA956&gt;'Tax Tables'!$A$5:$A$17)*(AA956-'Tax Tables'!$A$5:$A$17)*'Tax Tables'!$C$5:$C$17)</f>
        <v>73436</v>
      </c>
      <c r="AC956" s="11" t="n">
        <f aca="false">IF(W956&lt;0,-1E+099,P956-T956-AB956+Y956+(T956+U956)*Calculator!$B$9)</f>
        <v>-1E+099</v>
      </c>
    </row>
    <row r="957" customFormat="false" ht="15" hidden="false" customHeight="false" outlineLevel="0" collapsed="false">
      <c r="A957" s="11" t="n">
        <f aca="false">944*$B$3</f>
        <v>472000</v>
      </c>
      <c r="B957" s="11" t="n">
        <f aca="false">0</f>
        <v>0</v>
      </c>
      <c r="C957" s="11" t="n">
        <f aca="false">A957-B957</f>
        <v>472000</v>
      </c>
      <c r="D957" s="11" t="n">
        <f aca="false">IF(Calculator!$B$6="Yes",MIN(B957,'Tax Tables'!$B$31*'Tax Tables'!$B$32),0)</f>
        <v>0</v>
      </c>
      <c r="E957" s="11" t="n">
        <f aca="false">D957*Calculator!$B$7</f>
        <v>0</v>
      </c>
      <c r="F957" s="11" t="n">
        <f aca="false">D957*Calculator!$B$8</f>
        <v>0</v>
      </c>
      <c r="G957" s="11" t="n">
        <f aca="false">IF(B957&gt;0,'Tax Tables'!$B$32*MIN(MAX(B957/'Tax Tables'!$B$32*'Tax Tables'!$B$33,'Tax Tables'!$B$34),'Tax Tables'!$B$35),0)</f>
        <v>0</v>
      </c>
      <c r="H957" s="11" t="n">
        <f aca="false">Calculator!$B$5-A957-F957-G957</f>
        <v>-72000</v>
      </c>
      <c r="I957" s="11" t="n">
        <f aca="false">'Tax Tables'!$B$22*(MAX(H957,0)-IF(Calculator!$B$10="Yes",MIN(MAX(H957,0),'Tax Tables'!$B$27)*'Tax Tables'!$B$28+MIN(MAX(MAX(H957,0)-'Tax Tables'!$B$27,0),'Tax Tables'!$B$29)*'Tax Tables'!$B$30,MIN(MAX(H957,0),'Tax Tables'!$B$23)*'Tax Tables'!$B$24+MIN(MAX(MAX(H957,0)-'Tax Tables'!$B$23,0),'Tax Tables'!$B$25)*'Tax Tables'!$B$26))*1-MIN('Tax Tables'!$B$22*(MAX(H957,0)-IF(Calculator!$B$10="Yes",MIN(MAX(H957,0),'Tax Tables'!$B$27)*'Tax Tables'!$B$28+MIN(MAX(MAX(H957,0)-'Tax Tables'!$B$27,0),'Tax Tables'!$B$29)*'Tax Tables'!$B$30,MIN(MAX(H957,0),'Tax Tables'!$B$23)*'Tax Tables'!$B$24+MIN(MAX(MAX(H957,0)-'Tax Tables'!$B$23,0),'Tax Tables'!$B$25)*'Tax Tables'!$B$26))*Calculator!$B$11,Calculator!$B$12)</f>
        <v>0</v>
      </c>
      <c r="J957" s="11" t="n">
        <f aca="false">MAX(H957,0)-I957</f>
        <v>0</v>
      </c>
      <c r="K957" s="11" t="n">
        <f aca="false">MIN(IF(A957&gt;0,Calculator!$B$13,0)+E957+Calculator!$B$14,'Tax Tables'!$B$36)</f>
        <v>1000</v>
      </c>
      <c r="L957" s="11" t="n">
        <f aca="false">MAX(A957-K957,0)</f>
        <v>471000</v>
      </c>
      <c r="M957" s="11" t="n">
        <f aca="false">SUMPRODUCT((L957&gt;'Tax Tables'!$A$5:$A$17)*(L957-'Tax Tables'!$A$5:$A$17)*'Tax Tables'!$C$5:$C$17)</f>
        <v>77770</v>
      </c>
      <c r="N957" s="11" t="n">
        <f aca="false">IF(H957&lt;0,-1E+099,A957-E957-M957+J957+(E957+F957)*Calculator!$B$9)</f>
        <v>-1E+099</v>
      </c>
      <c r="O957" s="2"/>
      <c r="P957" s="11" t="n">
        <f aca="false">944*$B$3</f>
        <v>472000</v>
      </c>
      <c r="Q957" s="11" t="n">
        <f aca="false">MIN(P957,'Tax Tables'!$B$31*'Tax Tables'!$B$32)</f>
        <v>96000</v>
      </c>
      <c r="R957" s="11" t="n">
        <f aca="false">P957-Q957</f>
        <v>376000</v>
      </c>
      <c r="S957" s="11" t="n">
        <f aca="false">IF(Calculator!$B$6="Yes",MIN(Q957,'Tax Tables'!$B$31*'Tax Tables'!$B$32),0)</f>
        <v>96000</v>
      </c>
      <c r="T957" s="11" t="n">
        <f aca="false">S957*Calculator!$B$7</f>
        <v>19200</v>
      </c>
      <c r="U957" s="11" t="n">
        <f aca="false">S957*Calculator!$B$8</f>
        <v>16320</v>
      </c>
      <c r="V957" s="11" t="n">
        <f aca="false">IF(Q957&gt;0,'Tax Tables'!$B$32*MIN(MAX(Q957/'Tax Tables'!$B$32*'Tax Tables'!$B$33,'Tax Tables'!$B$34),'Tax Tables'!$B$35),0)</f>
        <v>135</v>
      </c>
      <c r="W957" s="11" t="n">
        <f aca="false">Calculator!$B$5-P957-U957-V957</f>
        <v>-88455</v>
      </c>
      <c r="X957" s="11" t="n">
        <f aca="false">'Tax Tables'!$B$22*(MAX(W957,0)-IF(Calculator!$B$10="Yes",MIN(MAX(W957,0),'Tax Tables'!$B$27)*'Tax Tables'!$B$28+MIN(MAX(MAX(W957,0)-'Tax Tables'!$B$27,0),'Tax Tables'!$B$29)*'Tax Tables'!$B$30,MIN(MAX(W957,0),'Tax Tables'!$B$23)*'Tax Tables'!$B$24+MIN(MAX(MAX(W957,0)-'Tax Tables'!$B$23,0),'Tax Tables'!$B$25)*'Tax Tables'!$B$26))*1-MIN('Tax Tables'!$B$22*(MAX(W957,0)-IF(Calculator!$B$10="Yes",MIN(MAX(W957,0),'Tax Tables'!$B$27)*'Tax Tables'!$B$28+MIN(MAX(MAX(W957,0)-'Tax Tables'!$B$27,0),'Tax Tables'!$B$29)*'Tax Tables'!$B$30,MIN(MAX(W957,0),'Tax Tables'!$B$23)*'Tax Tables'!$B$24+MIN(MAX(MAX(W957,0)-'Tax Tables'!$B$23,0),'Tax Tables'!$B$25)*'Tax Tables'!$B$26))*Calculator!$B$11,Calculator!$B$12)</f>
        <v>0</v>
      </c>
      <c r="Y957" s="11" t="n">
        <f aca="false">MAX(W957,0)-X957</f>
        <v>0</v>
      </c>
      <c r="Z957" s="11" t="n">
        <f aca="false">MIN(IF(P957&gt;0,Calculator!$B$13,0)+T957+Calculator!$B$14,'Tax Tables'!$B$36)</f>
        <v>20200</v>
      </c>
      <c r="AA957" s="11" t="n">
        <f aca="false">MAX(P957-Z957,0)</f>
        <v>451800</v>
      </c>
      <c r="AB957" s="11" t="n">
        <f aca="false">SUMPRODUCT((AA957&gt;'Tax Tables'!$A$5:$A$17)*(AA957-'Tax Tables'!$A$5:$A$17)*'Tax Tables'!$C$5:$C$17)</f>
        <v>73546</v>
      </c>
      <c r="AC957" s="11" t="n">
        <f aca="false">IF(W957&lt;0,-1E+099,P957-T957-AB957+Y957+(T957+U957)*Calculator!$B$9)</f>
        <v>-1E+099</v>
      </c>
    </row>
    <row r="958" customFormat="false" ht="15" hidden="false" customHeight="false" outlineLevel="0" collapsed="false">
      <c r="A958" s="11" t="n">
        <f aca="false">945*$B$3</f>
        <v>472500</v>
      </c>
      <c r="B958" s="11" t="n">
        <f aca="false">0</f>
        <v>0</v>
      </c>
      <c r="C958" s="11" t="n">
        <f aca="false">A958-B958</f>
        <v>472500</v>
      </c>
      <c r="D958" s="11" t="n">
        <f aca="false">IF(Calculator!$B$6="Yes",MIN(B958,'Tax Tables'!$B$31*'Tax Tables'!$B$32),0)</f>
        <v>0</v>
      </c>
      <c r="E958" s="11" t="n">
        <f aca="false">D958*Calculator!$B$7</f>
        <v>0</v>
      </c>
      <c r="F958" s="11" t="n">
        <f aca="false">D958*Calculator!$B$8</f>
        <v>0</v>
      </c>
      <c r="G958" s="11" t="n">
        <f aca="false">IF(B958&gt;0,'Tax Tables'!$B$32*MIN(MAX(B958/'Tax Tables'!$B$32*'Tax Tables'!$B$33,'Tax Tables'!$B$34),'Tax Tables'!$B$35),0)</f>
        <v>0</v>
      </c>
      <c r="H958" s="11" t="n">
        <f aca="false">Calculator!$B$5-A958-F958-G958</f>
        <v>-72500</v>
      </c>
      <c r="I958" s="11" t="n">
        <f aca="false">'Tax Tables'!$B$22*(MAX(H958,0)-IF(Calculator!$B$10="Yes",MIN(MAX(H958,0),'Tax Tables'!$B$27)*'Tax Tables'!$B$28+MIN(MAX(MAX(H958,0)-'Tax Tables'!$B$27,0),'Tax Tables'!$B$29)*'Tax Tables'!$B$30,MIN(MAX(H958,0),'Tax Tables'!$B$23)*'Tax Tables'!$B$24+MIN(MAX(MAX(H958,0)-'Tax Tables'!$B$23,0),'Tax Tables'!$B$25)*'Tax Tables'!$B$26))*1-MIN('Tax Tables'!$B$22*(MAX(H958,0)-IF(Calculator!$B$10="Yes",MIN(MAX(H958,0),'Tax Tables'!$B$27)*'Tax Tables'!$B$28+MIN(MAX(MAX(H958,0)-'Tax Tables'!$B$27,0),'Tax Tables'!$B$29)*'Tax Tables'!$B$30,MIN(MAX(H958,0),'Tax Tables'!$B$23)*'Tax Tables'!$B$24+MIN(MAX(MAX(H958,0)-'Tax Tables'!$B$23,0),'Tax Tables'!$B$25)*'Tax Tables'!$B$26))*Calculator!$B$11,Calculator!$B$12)</f>
        <v>0</v>
      </c>
      <c r="J958" s="11" t="n">
        <f aca="false">MAX(H958,0)-I958</f>
        <v>0</v>
      </c>
      <c r="K958" s="11" t="n">
        <f aca="false">MIN(IF(A958&gt;0,Calculator!$B$13,0)+E958+Calculator!$B$14,'Tax Tables'!$B$36)</f>
        <v>1000</v>
      </c>
      <c r="L958" s="11" t="n">
        <f aca="false">MAX(A958-K958,0)</f>
        <v>471500</v>
      </c>
      <c r="M958" s="11" t="n">
        <f aca="false">SUMPRODUCT((L958&gt;'Tax Tables'!$A$5:$A$17)*(L958-'Tax Tables'!$A$5:$A$17)*'Tax Tables'!$C$5:$C$17)</f>
        <v>77880</v>
      </c>
      <c r="N958" s="11" t="n">
        <f aca="false">IF(H958&lt;0,-1E+099,A958-E958-M958+J958+(E958+F958)*Calculator!$B$9)</f>
        <v>-1E+099</v>
      </c>
      <c r="O958" s="2"/>
      <c r="P958" s="11" t="n">
        <f aca="false">945*$B$3</f>
        <v>472500</v>
      </c>
      <c r="Q958" s="11" t="n">
        <f aca="false">MIN(P958,'Tax Tables'!$B$31*'Tax Tables'!$B$32)</f>
        <v>96000</v>
      </c>
      <c r="R958" s="11" t="n">
        <f aca="false">P958-Q958</f>
        <v>376500</v>
      </c>
      <c r="S958" s="11" t="n">
        <f aca="false">IF(Calculator!$B$6="Yes",MIN(Q958,'Tax Tables'!$B$31*'Tax Tables'!$B$32),0)</f>
        <v>96000</v>
      </c>
      <c r="T958" s="11" t="n">
        <f aca="false">S958*Calculator!$B$7</f>
        <v>19200</v>
      </c>
      <c r="U958" s="11" t="n">
        <f aca="false">S958*Calculator!$B$8</f>
        <v>16320</v>
      </c>
      <c r="V958" s="11" t="n">
        <f aca="false">IF(Q958&gt;0,'Tax Tables'!$B$32*MIN(MAX(Q958/'Tax Tables'!$B$32*'Tax Tables'!$B$33,'Tax Tables'!$B$34),'Tax Tables'!$B$35),0)</f>
        <v>135</v>
      </c>
      <c r="W958" s="11" t="n">
        <f aca="false">Calculator!$B$5-P958-U958-V958</f>
        <v>-88955</v>
      </c>
      <c r="X958" s="11" t="n">
        <f aca="false">'Tax Tables'!$B$22*(MAX(W958,0)-IF(Calculator!$B$10="Yes",MIN(MAX(W958,0),'Tax Tables'!$B$27)*'Tax Tables'!$B$28+MIN(MAX(MAX(W958,0)-'Tax Tables'!$B$27,0),'Tax Tables'!$B$29)*'Tax Tables'!$B$30,MIN(MAX(W958,0),'Tax Tables'!$B$23)*'Tax Tables'!$B$24+MIN(MAX(MAX(W958,0)-'Tax Tables'!$B$23,0),'Tax Tables'!$B$25)*'Tax Tables'!$B$26))*1-MIN('Tax Tables'!$B$22*(MAX(W958,0)-IF(Calculator!$B$10="Yes",MIN(MAX(W958,0),'Tax Tables'!$B$27)*'Tax Tables'!$B$28+MIN(MAX(MAX(W958,0)-'Tax Tables'!$B$27,0),'Tax Tables'!$B$29)*'Tax Tables'!$B$30,MIN(MAX(W958,0),'Tax Tables'!$B$23)*'Tax Tables'!$B$24+MIN(MAX(MAX(W958,0)-'Tax Tables'!$B$23,0),'Tax Tables'!$B$25)*'Tax Tables'!$B$26))*Calculator!$B$11,Calculator!$B$12)</f>
        <v>0</v>
      </c>
      <c r="Y958" s="11" t="n">
        <f aca="false">MAX(W958,0)-X958</f>
        <v>0</v>
      </c>
      <c r="Z958" s="11" t="n">
        <f aca="false">MIN(IF(P958&gt;0,Calculator!$B$13,0)+T958+Calculator!$B$14,'Tax Tables'!$B$36)</f>
        <v>20200</v>
      </c>
      <c r="AA958" s="11" t="n">
        <f aca="false">MAX(P958-Z958,0)</f>
        <v>452300</v>
      </c>
      <c r="AB958" s="11" t="n">
        <f aca="false">SUMPRODUCT((AA958&gt;'Tax Tables'!$A$5:$A$17)*(AA958-'Tax Tables'!$A$5:$A$17)*'Tax Tables'!$C$5:$C$17)</f>
        <v>73656</v>
      </c>
      <c r="AC958" s="11" t="n">
        <f aca="false">IF(W958&lt;0,-1E+099,P958-T958-AB958+Y958+(T958+U958)*Calculator!$B$9)</f>
        <v>-1E+099</v>
      </c>
    </row>
    <row r="959" customFormat="false" ht="15" hidden="false" customHeight="false" outlineLevel="0" collapsed="false">
      <c r="A959" s="11" t="n">
        <f aca="false">946*$B$3</f>
        <v>473000</v>
      </c>
      <c r="B959" s="11" t="n">
        <f aca="false">0</f>
        <v>0</v>
      </c>
      <c r="C959" s="11" t="n">
        <f aca="false">A959-B959</f>
        <v>473000</v>
      </c>
      <c r="D959" s="11" t="n">
        <f aca="false">IF(Calculator!$B$6="Yes",MIN(B959,'Tax Tables'!$B$31*'Tax Tables'!$B$32),0)</f>
        <v>0</v>
      </c>
      <c r="E959" s="11" t="n">
        <f aca="false">D959*Calculator!$B$7</f>
        <v>0</v>
      </c>
      <c r="F959" s="11" t="n">
        <f aca="false">D959*Calculator!$B$8</f>
        <v>0</v>
      </c>
      <c r="G959" s="11" t="n">
        <f aca="false">IF(B959&gt;0,'Tax Tables'!$B$32*MIN(MAX(B959/'Tax Tables'!$B$32*'Tax Tables'!$B$33,'Tax Tables'!$B$34),'Tax Tables'!$B$35),0)</f>
        <v>0</v>
      </c>
      <c r="H959" s="11" t="n">
        <f aca="false">Calculator!$B$5-A959-F959-G959</f>
        <v>-73000</v>
      </c>
      <c r="I959" s="11" t="n">
        <f aca="false">'Tax Tables'!$B$22*(MAX(H959,0)-IF(Calculator!$B$10="Yes",MIN(MAX(H959,0),'Tax Tables'!$B$27)*'Tax Tables'!$B$28+MIN(MAX(MAX(H959,0)-'Tax Tables'!$B$27,0),'Tax Tables'!$B$29)*'Tax Tables'!$B$30,MIN(MAX(H959,0),'Tax Tables'!$B$23)*'Tax Tables'!$B$24+MIN(MAX(MAX(H959,0)-'Tax Tables'!$B$23,0),'Tax Tables'!$B$25)*'Tax Tables'!$B$26))*1-MIN('Tax Tables'!$B$22*(MAX(H959,0)-IF(Calculator!$B$10="Yes",MIN(MAX(H959,0),'Tax Tables'!$B$27)*'Tax Tables'!$B$28+MIN(MAX(MAX(H959,0)-'Tax Tables'!$B$27,0),'Tax Tables'!$B$29)*'Tax Tables'!$B$30,MIN(MAX(H959,0),'Tax Tables'!$B$23)*'Tax Tables'!$B$24+MIN(MAX(MAX(H959,0)-'Tax Tables'!$B$23,0),'Tax Tables'!$B$25)*'Tax Tables'!$B$26))*Calculator!$B$11,Calculator!$B$12)</f>
        <v>0</v>
      </c>
      <c r="J959" s="11" t="n">
        <f aca="false">MAX(H959,0)-I959</f>
        <v>0</v>
      </c>
      <c r="K959" s="11" t="n">
        <f aca="false">MIN(IF(A959&gt;0,Calculator!$B$13,0)+E959+Calculator!$B$14,'Tax Tables'!$B$36)</f>
        <v>1000</v>
      </c>
      <c r="L959" s="11" t="n">
        <f aca="false">MAX(A959-K959,0)</f>
        <v>472000</v>
      </c>
      <c r="M959" s="11" t="n">
        <f aca="false">SUMPRODUCT((L959&gt;'Tax Tables'!$A$5:$A$17)*(L959-'Tax Tables'!$A$5:$A$17)*'Tax Tables'!$C$5:$C$17)</f>
        <v>77990</v>
      </c>
      <c r="N959" s="11" t="n">
        <f aca="false">IF(H959&lt;0,-1E+099,A959-E959-M959+J959+(E959+F959)*Calculator!$B$9)</f>
        <v>-1E+099</v>
      </c>
      <c r="O959" s="2"/>
      <c r="P959" s="11" t="n">
        <f aca="false">946*$B$3</f>
        <v>473000</v>
      </c>
      <c r="Q959" s="11" t="n">
        <f aca="false">MIN(P959,'Tax Tables'!$B$31*'Tax Tables'!$B$32)</f>
        <v>96000</v>
      </c>
      <c r="R959" s="11" t="n">
        <f aca="false">P959-Q959</f>
        <v>377000</v>
      </c>
      <c r="S959" s="11" t="n">
        <f aca="false">IF(Calculator!$B$6="Yes",MIN(Q959,'Tax Tables'!$B$31*'Tax Tables'!$B$32),0)</f>
        <v>96000</v>
      </c>
      <c r="T959" s="11" t="n">
        <f aca="false">S959*Calculator!$B$7</f>
        <v>19200</v>
      </c>
      <c r="U959" s="11" t="n">
        <f aca="false">S959*Calculator!$B$8</f>
        <v>16320</v>
      </c>
      <c r="V959" s="11" t="n">
        <f aca="false">IF(Q959&gt;0,'Tax Tables'!$B$32*MIN(MAX(Q959/'Tax Tables'!$B$32*'Tax Tables'!$B$33,'Tax Tables'!$B$34),'Tax Tables'!$B$35),0)</f>
        <v>135</v>
      </c>
      <c r="W959" s="11" t="n">
        <f aca="false">Calculator!$B$5-P959-U959-V959</f>
        <v>-89455</v>
      </c>
      <c r="X959" s="11" t="n">
        <f aca="false">'Tax Tables'!$B$22*(MAX(W959,0)-IF(Calculator!$B$10="Yes",MIN(MAX(W959,0),'Tax Tables'!$B$27)*'Tax Tables'!$B$28+MIN(MAX(MAX(W959,0)-'Tax Tables'!$B$27,0),'Tax Tables'!$B$29)*'Tax Tables'!$B$30,MIN(MAX(W959,0),'Tax Tables'!$B$23)*'Tax Tables'!$B$24+MIN(MAX(MAX(W959,0)-'Tax Tables'!$B$23,0),'Tax Tables'!$B$25)*'Tax Tables'!$B$26))*1-MIN('Tax Tables'!$B$22*(MAX(W959,0)-IF(Calculator!$B$10="Yes",MIN(MAX(W959,0),'Tax Tables'!$B$27)*'Tax Tables'!$B$28+MIN(MAX(MAX(W959,0)-'Tax Tables'!$B$27,0),'Tax Tables'!$B$29)*'Tax Tables'!$B$30,MIN(MAX(W959,0),'Tax Tables'!$B$23)*'Tax Tables'!$B$24+MIN(MAX(MAX(W959,0)-'Tax Tables'!$B$23,0),'Tax Tables'!$B$25)*'Tax Tables'!$B$26))*Calculator!$B$11,Calculator!$B$12)</f>
        <v>0</v>
      </c>
      <c r="Y959" s="11" t="n">
        <f aca="false">MAX(W959,0)-X959</f>
        <v>0</v>
      </c>
      <c r="Z959" s="11" t="n">
        <f aca="false">MIN(IF(P959&gt;0,Calculator!$B$13,0)+T959+Calculator!$B$14,'Tax Tables'!$B$36)</f>
        <v>20200</v>
      </c>
      <c r="AA959" s="11" t="n">
        <f aca="false">MAX(P959-Z959,0)</f>
        <v>452800</v>
      </c>
      <c r="AB959" s="11" t="n">
        <f aca="false">SUMPRODUCT((AA959&gt;'Tax Tables'!$A$5:$A$17)*(AA959-'Tax Tables'!$A$5:$A$17)*'Tax Tables'!$C$5:$C$17)</f>
        <v>73766</v>
      </c>
      <c r="AC959" s="11" t="n">
        <f aca="false">IF(W959&lt;0,-1E+099,P959-T959-AB959+Y959+(T959+U959)*Calculator!$B$9)</f>
        <v>-1E+099</v>
      </c>
    </row>
    <row r="960" customFormat="false" ht="15" hidden="false" customHeight="false" outlineLevel="0" collapsed="false">
      <c r="A960" s="11" t="n">
        <f aca="false">947*$B$3</f>
        <v>473500</v>
      </c>
      <c r="B960" s="11" t="n">
        <f aca="false">0</f>
        <v>0</v>
      </c>
      <c r="C960" s="11" t="n">
        <f aca="false">A960-B960</f>
        <v>473500</v>
      </c>
      <c r="D960" s="11" t="n">
        <f aca="false">IF(Calculator!$B$6="Yes",MIN(B960,'Tax Tables'!$B$31*'Tax Tables'!$B$32),0)</f>
        <v>0</v>
      </c>
      <c r="E960" s="11" t="n">
        <f aca="false">D960*Calculator!$B$7</f>
        <v>0</v>
      </c>
      <c r="F960" s="11" t="n">
        <f aca="false">D960*Calculator!$B$8</f>
        <v>0</v>
      </c>
      <c r="G960" s="11" t="n">
        <f aca="false">IF(B960&gt;0,'Tax Tables'!$B$32*MIN(MAX(B960/'Tax Tables'!$B$32*'Tax Tables'!$B$33,'Tax Tables'!$B$34),'Tax Tables'!$B$35),0)</f>
        <v>0</v>
      </c>
      <c r="H960" s="11" t="n">
        <f aca="false">Calculator!$B$5-A960-F960-G960</f>
        <v>-73500</v>
      </c>
      <c r="I960" s="11" t="n">
        <f aca="false">'Tax Tables'!$B$22*(MAX(H960,0)-IF(Calculator!$B$10="Yes",MIN(MAX(H960,0),'Tax Tables'!$B$27)*'Tax Tables'!$B$28+MIN(MAX(MAX(H960,0)-'Tax Tables'!$B$27,0),'Tax Tables'!$B$29)*'Tax Tables'!$B$30,MIN(MAX(H960,0),'Tax Tables'!$B$23)*'Tax Tables'!$B$24+MIN(MAX(MAX(H960,0)-'Tax Tables'!$B$23,0),'Tax Tables'!$B$25)*'Tax Tables'!$B$26))*1-MIN('Tax Tables'!$B$22*(MAX(H960,0)-IF(Calculator!$B$10="Yes",MIN(MAX(H960,0),'Tax Tables'!$B$27)*'Tax Tables'!$B$28+MIN(MAX(MAX(H960,0)-'Tax Tables'!$B$27,0),'Tax Tables'!$B$29)*'Tax Tables'!$B$30,MIN(MAX(H960,0),'Tax Tables'!$B$23)*'Tax Tables'!$B$24+MIN(MAX(MAX(H960,0)-'Tax Tables'!$B$23,0),'Tax Tables'!$B$25)*'Tax Tables'!$B$26))*Calculator!$B$11,Calculator!$B$12)</f>
        <v>0</v>
      </c>
      <c r="J960" s="11" t="n">
        <f aca="false">MAX(H960,0)-I960</f>
        <v>0</v>
      </c>
      <c r="K960" s="11" t="n">
        <f aca="false">MIN(IF(A960&gt;0,Calculator!$B$13,0)+E960+Calculator!$B$14,'Tax Tables'!$B$36)</f>
        <v>1000</v>
      </c>
      <c r="L960" s="11" t="n">
        <f aca="false">MAX(A960-K960,0)</f>
        <v>472500</v>
      </c>
      <c r="M960" s="11" t="n">
        <f aca="false">SUMPRODUCT((L960&gt;'Tax Tables'!$A$5:$A$17)*(L960-'Tax Tables'!$A$5:$A$17)*'Tax Tables'!$C$5:$C$17)</f>
        <v>78100</v>
      </c>
      <c r="N960" s="11" t="n">
        <f aca="false">IF(H960&lt;0,-1E+099,A960-E960-M960+J960+(E960+F960)*Calculator!$B$9)</f>
        <v>-1E+099</v>
      </c>
      <c r="O960" s="2"/>
      <c r="P960" s="11" t="n">
        <f aca="false">947*$B$3</f>
        <v>473500</v>
      </c>
      <c r="Q960" s="11" t="n">
        <f aca="false">MIN(P960,'Tax Tables'!$B$31*'Tax Tables'!$B$32)</f>
        <v>96000</v>
      </c>
      <c r="R960" s="11" t="n">
        <f aca="false">P960-Q960</f>
        <v>377500</v>
      </c>
      <c r="S960" s="11" t="n">
        <f aca="false">IF(Calculator!$B$6="Yes",MIN(Q960,'Tax Tables'!$B$31*'Tax Tables'!$B$32),0)</f>
        <v>96000</v>
      </c>
      <c r="T960" s="11" t="n">
        <f aca="false">S960*Calculator!$B$7</f>
        <v>19200</v>
      </c>
      <c r="U960" s="11" t="n">
        <f aca="false">S960*Calculator!$B$8</f>
        <v>16320</v>
      </c>
      <c r="V960" s="11" t="n">
        <f aca="false">IF(Q960&gt;0,'Tax Tables'!$B$32*MIN(MAX(Q960/'Tax Tables'!$B$32*'Tax Tables'!$B$33,'Tax Tables'!$B$34),'Tax Tables'!$B$35),0)</f>
        <v>135</v>
      </c>
      <c r="W960" s="11" t="n">
        <f aca="false">Calculator!$B$5-P960-U960-V960</f>
        <v>-89955</v>
      </c>
      <c r="X960" s="11" t="n">
        <f aca="false">'Tax Tables'!$B$22*(MAX(W960,0)-IF(Calculator!$B$10="Yes",MIN(MAX(W960,0),'Tax Tables'!$B$27)*'Tax Tables'!$B$28+MIN(MAX(MAX(W960,0)-'Tax Tables'!$B$27,0),'Tax Tables'!$B$29)*'Tax Tables'!$B$30,MIN(MAX(W960,0),'Tax Tables'!$B$23)*'Tax Tables'!$B$24+MIN(MAX(MAX(W960,0)-'Tax Tables'!$B$23,0),'Tax Tables'!$B$25)*'Tax Tables'!$B$26))*1-MIN('Tax Tables'!$B$22*(MAX(W960,0)-IF(Calculator!$B$10="Yes",MIN(MAX(W960,0),'Tax Tables'!$B$27)*'Tax Tables'!$B$28+MIN(MAX(MAX(W960,0)-'Tax Tables'!$B$27,0),'Tax Tables'!$B$29)*'Tax Tables'!$B$30,MIN(MAX(W960,0),'Tax Tables'!$B$23)*'Tax Tables'!$B$24+MIN(MAX(MAX(W960,0)-'Tax Tables'!$B$23,0),'Tax Tables'!$B$25)*'Tax Tables'!$B$26))*Calculator!$B$11,Calculator!$B$12)</f>
        <v>0</v>
      </c>
      <c r="Y960" s="11" t="n">
        <f aca="false">MAX(W960,0)-X960</f>
        <v>0</v>
      </c>
      <c r="Z960" s="11" t="n">
        <f aca="false">MIN(IF(P960&gt;0,Calculator!$B$13,0)+T960+Calculator!$B$14,'Tax Tables'!$B$36)</f>
        <v>20200</v>
      </c>
      <c r="AA960" s="11" t="n">
        <f aca="false">MAX(P960-Z960,0)</f>
        <v>453300</v>
      </c>
      <c r="AB960" s="11" t="n">
        <f aca="false">SUMPRODUCT((AA960&gt;'Tax Tables'!$A$5:$A$17)*(AA960-'Tax Tables'!$A$5:$A$17)*'Tax Tables'!$C$5:$C$17)</f>
        <v>73876</v>
      </c>
      <c r="AC960" s="11" t="n">
        <f aca="false">IF(W960&lt;0,-1E+099,P960-T960-AB960+Y960+(T960+U960)*Calculator!$B$9)</f>
        <v>-1E+099</v>
      </c>
    </row>
    <row r="961" customFormat="false" ht="15" hidden="false" customHeight="false" outlineLevel="0" collapsed="false">
      <c r="A961" s="11" t="n">
        <f aca="false">948*$B$3</f>
        <v>474000</v>
      </c>
      <c r="B961" s="11" t="n">
        <f aca="false">0</f>
        <v>0</v>
      </c>
      <c r="C961" s="11" t="n">
        <f aca="false">A961-B961</f>
        <v>474000</v>
      </c>
      <c r="D961" s="11" t="n">
        <f aca="false">IF(Calculator!$B$6="Yes",MIN(B961,'Tax Tables'!$B$31*'Tax Tables'!$B$32),0)</f>
        <v>0</v>
      </c>
      <c r="E961" s="11" t="n">
        <f aca="false">D961*Calculator!$B$7</f>
        <v>0</v>
      </c>
      <c r="F961" s="11" t="n">
        <f aca="false">D961*Calculator!$B$8</f>
        <v>0</v>
      </c>
      <c r="G961" s="11" t="n">
        <f aca="false">IF(B961&gt;0,'Tax Tables'!$B$32*MIN(MAX(B961/'Tax Tables'!$B$32*'Tax Tables'!$B$33,'Tax Tables'!$B$34),'Tax Tables'!$B$35),0)</f>
        <v>0</v>
      </c>
      <c r="H961" s="11" t="n">
        <f aca="false">Calculator!$B$5-A961-F961-G961</f>
        <v>-74000</v>
      </c>
      <c r="I961" s="11" t="n">
        <f aca="false">'Tax Tables'!$B$22*(MAX(H961,0)-IF(Calculator!$B$10="Yes",MIN(MAX(H961,0),'Tax Tables'!$B$27)*'Tax Tables'!$B$28+MIN(MAX(MAX(H961,0)-'Tax Tables'!$B$27,0),'Tax Tables'!$B$29)*'Tax Tables'!$B$30,MIN(MAX(H961,0),'Tax Tables'!$B$23)*'Tax Tables'!$B$24+MIN(MAX(MAX(H961,0)-'Tax Tables'!$B$23,0),'Tax Tables'!$B$25)*'Tax Tables'!$B$26))*1-MIN('Tax Tables'!$B$22*(MAX(H961,0)-IF(Calculator!$B$10="Yes",MIN(MAX(H961,0),'Tax Tables'!$B$27)*'Tax Tables'!$B$28+MIN(MAX(MAX(H961,0)-'Tax Tables'!$B$27,0),'Tax Tables'!$B$29)*'Tax Tables'!$B$30,MIN(MAX(H961,0),'Tax Tables'!$B$23)*'Tax Tables'!$B$24+MIN(MAX(MAX(H961,0)-'Tax Tables'!$B$23,0),'Tax Tables'!$B$25)*'Tax Tables'!$B$26))*Calculator!$B$11,Calculator!$B$12)</f>
        <v>0</v>
      </c>
      <c r="J961" s="11" t="n">
        <f aca="false">MAX(H961,0)-I961</f>
        <v>0</v>
      </c>
      <c r="K961" s="11" t="n">
        <f aca="false">MIN(IF(A961&gt;0,Calculator!$B$13,0)+E961+Calculator!$B$14,'Tax Tables'!$B$36)</f>
        <v>1000</v>
      </c>
      <c r="L961" s="11" t="n">
        <f aca="false">MAX(A961-K961,0)</f>
        <v>473000</v>
      </c>
      <c r="M961" s="11" t="n">
        <f aca="false">SUMPRODUCT((L961&gt;'Tax Tables'!$A$5:$A$17)*(L961-'Tax Tables'!$A$5:$A$17)*'Tax Tables'!$C$5:$C$17)</f>
        <v>78210</v>
      </c>
      <c r="N961" s="11" t="n">
        <f aca="false">IF(H961&lt;0,-1E+099,A961-E961-M961+J961+(E961+F961)*Calculator!$B$9)</f>
        <v>-1E+099</v>
      </c>
      <c r="O961" s="2"/>
      <c r="P961" s="11" t="n">
        <f aca="false">948*$B$3</f>
        <v>474000</v>
      </c>
      <c r="Q961" s="11" t="n">
        <f aca="false">MIN(P961,'Tax Tables'!$B$31*'Tax Tables'!$B$32)</f>
        <v>96000</v>
      </c>
      <c r="R961" s="11" t="n">
        <f aca="false">P961-Q961</f>
        <v>378000</v>
      </c>
      <c r="S961" s="11" t="n">
        <f aca="false">IF(Calculator!$B$6="Yes",MIN(Q961,'Tax Tables'!$B$31*'Tax Tables'!$B$32),0)</f>
        <v>96000</v>
      </c>
      <c r="T961" s="11" t="n">
        <f aca="false">S961*Calculator!$B$7</f>
        <v>19200</v>
      </c>
      <c r="U961" s="11" t="n">
        <f aca="false">S961*Calculator!$B$8</f>
        <v>16320</v>
      </c>
      <c r="V961" s="11" t="n">
        <f aca="false">IF(Q961&gt;0,'Tax Tables'!$B$32*MIN(MAX(Q961/'Tax Tables'!$B$32*'Tax Tables'!$B$33,'Tax Tables'!$B$34),'Tax Tables'!$B$35),0)</f>
        <v>135</v>
      </c>
      <c r="W961" s="11" t="n">
        <f aca="false">Calculator!$B$5-P961-U961-V961</f>
        <v>-90455</v>
      </c>
      <c r="X961" s="11" t="n">
        <f aca="false">'Tax Tables'!$B$22*(MAX(W961,0)-IF(Calculator!$B$10="Yes",MIN(MAX(W961,0),'Tax Tables'!$B$27)*'Tax Tables'!$B$28+MIN(MAX(MAX(W961,0)-'Tax Tables'!$B$27,0),'Tax Tables'!$B$29)*'Tax Tables'!$B$30,MIN(MAX(W961,0),'Tax Tables'!$B$23)*'Tax Tables'!$B$24+MIN(MAX(MAX(W961,0)-'Tax Tables'!$B$23,0),'Tax Tables'!$B$25)*'Tax Tables'!$B$26))*1-MIN('Tax Tables'!$B$22*(MAX(W961,0)-IF(Calculator!$B$10="Yes",MIN(MAX(W961,0),'Tax Tables'!$B$27)*'Tax Tables'!$B$28+MIN(MAX(MAX(W961,0)-'Tax Tables'!$B$27,0),'Tax Tables'!$B$29)*'Tax Tables'!$B$30,MIN(MAX(W961,0),'Tax Tables'!$B$23)*'Tax Tables'!$B$24+MIN(MAX(MAX(W961,0)-'Tax Tables'!$B$23,0),'Tax Tables'!$B$25)*'Tax Tables'!$B$26))*Calculator!$B$11,Calculator!$B$12)</f>
        <v>0</v>
      </c>
      <c r="Y961" s="11" t="n">
        <f aca="false">MAX(W961,0)-X961</f>
        <v>0</v>
      </c>
      <c r="Z961" s="11" t="n">
        <f aca="false">MIN(IF(P961&gt;0,Calculator!$B$13,0)+T961+Calculator!$B$14,'Tax Tables'!$B$36)</f>
        <v>20200</v>
      </c>
      <c r="AA961" s="11" t="n">
        <f aca="false">MAX(P961-Z961,0)</f>
        <v>453800</v>
      </c>
      <c r="AB961" s="11" t="n">
        <f aca="false">SUMPRODUCT((AA961&gt;'Tax Tables'!$A$5:$A$17)*(AA961-'Tax Tables'!$A$5:$A$17)*'Tax Tables'!$C$5:$C$17)</f>
        <v>73986</v>
      </c>
      <c r="AC961" s="11" t="n">
        <f aca="false">IF(W961&lt;0,-1E+099,P961-T961-AB961+Y961+(T961+U961)*Calculator!$B$9)</f>
        <v>-1E+099</v>
      </c>
    </row>
    <row r="962" customFormat="false" ht="15" hidden="false" customHeight="false" outlineLevel="0" collapsed="false">
      <c r="A962" s="11" t="n">
        <f aca="false">949*$B$3</f>
        <v>474500</v>
      </c>
      <c r="B962" s="11" t="n">
        <f aca="false">0</f>
        <v>0</v>
      </c>
      <c r="C962" s="11" t="n">
        <f aca="false">A962-B962</f>
        <v>474500</v>
      </c>
      <c r="D962" s="11" t="n">
        <f aca="false">IF(Calculator!$B$6="Yes",MIN(B962,'Tax Tables'!$B$31*'Tax Tables'!$B$32),0)</f>
        <v>0</v>
      </c>
      <c r="E962" s="11" t="n">
        <f aca="false">D962*Calculator!$B$7</f>
        <v>0</v>
      </c>
      <c r="F962" s="11" t="n">
        <f aca="false">D962*Calculator!$B$8</f>
        <v>0</v>
      </c>
      <c r="G962" s="11" t="n">
        <f aca="false">IF(B962&gt;0,'Tax Tables'!$B$32*MIN(MAX(B962/'Tax Tables'!$B$32*'Tax Tables'!$B$33,'Tax Tables'!$B$34),'Tax Tables'!$B$35),0)</f>
        <v>0</v>
      </c>
      <c r="H962" s="11" t="n">
        <f aca="false">Calculator!$B$5-A962-F962-G962</f>
        <v>-74500</v>
      </c>
      <c r="I962" s="11" t="n">
        <f aca="false">'Tax Tables'!$B$22*(MAX(H962,0)-IF(Calculator!$B$10="Yes",MIN(MAX(H962,0),'Tax Tables'!$B$27)*'Tax Tables'!$B$28+MIN(MAX(MAX(H962,0)-'Tax Tables'!$B$27,0),'Tax Tables'!$B$29)*'Tax Tables'!$B$30,MIN(MAX(H962,0),'Tax Tables'!$B$23)*'Tax Tables'!$B$24+MIN(MAX(MAX(H962,0)-'Tax Tables'!$B$23,0),'Tax Tables'!$B$25)*'Tax Tables'!$B$26))*1-MIN('Tax Tables'!$B$22*(MAX(H962,0)-IF(Calculator!$B$10="Yes",MIN(MAX(H962,0),'Tax Tables'!$B$27)*'Tax Tables'!$B$28+MIN(MAX(MAX(H962,0)-'Tax Tables'!$B$27,0),'Tax Tables'!$B$29)*'Tax Tables'!$B$30,MIN(MAX(H962,0),'Tax Tables'!$B$23)*'Tax Tables'!$B$24+MIN(MAX(MAX(H962,0)-'Tax Tables'!$B$23,0),'Tax Tables'!$B$25)*'Tax Tables'!$B$26))*Calculator!$B$11,Calculator!$B$12)</f>
        <v>0</v>
      </c>
      <c r="J962" s="11" t="n">
        <f aca="false">MAX(H962,0)-I962</f>
        <v>0</v>
      </c>
      <c r="K962" s="11" t="n">
        <f aca="false">MIN(IF(A962&gt;0,Calculator!$B$13,0)+E962+Calculator!$B$14,'Tax Tables'!$B$36)</f>
        <v>1000</v>
      </c>
      <c r="L962" s="11" t="n">
        <f aca="false">MAX(A962-K962,0)</f>
        <v>473500</v>
      </c>
      <c r="M962" s="11" t="n">
        <f aca="false">SUMPRODUCT((L962&gt;'Tax Tables'!$A$5:$A$17)*(L962-'Tax Tables'!$A$5:$A$17)*'Tax Tables'!$C$5:$C$17)</f>
        <v>78320</v>
      </c>
      <c r="N962" s="11" t="n">
        <f aca="false">IF(H962&lt;0,-1E+099,A962-E962-M962+J962+(E962+F962)*Calculator!$B$9)</f>
        <v>-1E+099</v>
      </c>
      <c r="O962" s="2"/>
      <c r="P962" s="11" t="n">
        <f aca="false">949*$B$3</f>
        <v>474500</v>
      </c>
      <c r="Q962" s="11" t="n">
        <f aca="false">MIN(P962,'Tax Tables'!$B$31*'Tax Tables'!$B$32)</f>
        <v>96000</v>
      </c>
      <c r="R962" s="11" t="n">
        <f aca="false">P962-Q962</f>
        <v>378500</v>
      </c>
      <c r="S962" s="11" t="n">
        <f aca="false">IF(Calculator!$B$6="Yes",MIN(Q962,'Tax Tables'!$B$31*'Tax Tables'!$B$32),0)</f>
        <v>96000</v>
      </c>
      <c r="T962" s="11" t="n">
        <f aca="false">S962*Calculator!$B$7</f>
        <v>19200</v>
      </c>
      <c r="U962" s="11" t="n">
        <f aca="false">S962*Calculator!$B$8</f>
        <v>16320</v>
      </c>
      <c r="V962" s="11" t="n">
        <f aca="false">IF(Q962&gt;0,'Tax Tables'!$B$32*MIN(MAX(Q962/'Tax Tables'!$B$32*'Tax Tables'!$B$33,'Tax Tables'!$B$34),'Tax Tables'!$B$35),0)</f>
        <v>135</v>
      </c>
      <c r="W962" s="11" t="n">
        <f aca="false">Calculator!$B$5-P962-U962-V962</f>
        <v>-90955</v>
      </c>
      <c r="X962" s="11" t="n">
        <f aca="false">'Tax Tables'!$B$22*(MAX(W962,0)-IF(Calculator!$B$10="Yes",MIN(MAX(W962,0),'Tax Tables'!$B$27)*'Tax Tables'!$B$28+MIN(MAX(MAX(W962,0)-'Tax Tables'!$B$27,0),'Tax Tables'!$B$29)*'Tax Tables'!$B$30,MIN(MAX(W962,0),'Tax Tables'!$B$23)*'Tax Tables'!$B$24+MIN(MAX(MAX(W962,0)-'Tax Tables'!$B$23,0),'Tax Tables'!$B$25)*'Tax Tables'!$B$26))*1-MIN('Tax Tables'!$B$22*(MAX(W962,0)-IF(Calculator!$B$10="Yes",MIN(MAX(W962,0),'Tax Tables'!$B$27)*'Tax Tables'!$B$28+MIN(MAX(MAX(W962,0)-'Tax Tables'!$B$27,0),'Tax Tables'!$B$29)*'Tax Tables'!$B$30,MIN(MAX(W962,0),'Tax Tables'!$B$23)*'Tax Tables'!$B$24+MIN(MAX(MAX(W962,0)-'Tax Tables'!$B$23,0),'Tax Tables'!$B$25)*'Tax Tables'!$B$26))*Calculator!$B$11,Calculator!$B$12)</f>
        <v>0</v>
      </c>
      <c r="Y962" s="11" t="n">
        <f aca="false">MAX(W962,0)-X962</f>
        <v>0</v>
      </c>
      <c r="Z962" s="11" t="n">
        <f aca="false">MIN(IF(P962&gt;0,Calculator!$B$13,0)+T962+Calculator!$B$14,'Tax Tables'!$B$36)</f>
        <v>20200</v>
      </c>
      <c r="AA962" s="11" t="n">
        <f aca="false">MAX(P962-Z962,0)</f>
        <v>454300</v>
      </c>
      <c r="AB962" s="11" t="n">
        <f aca="false">SUMPRODUCT((AA962&gt;'Tax Tables'!$A$5:$A$17)*(AA962-'Tax Tables'!$A$5:$A$17)*'Tax Tables'!$C$5:$C$17)</f>
        <v>74096</v>
      </c>
      <c r="AC962" s="11" t="n">
        <f aca="false">IF(W962&lt;0,-1E+099,P962-T962-AB962+Y962+(T962+U962)*Calculator!$B$9)</f>
        <v>-1E+099</v>
      </c>
    </row>
    <row r="963" customFormat="false" ht="15" hidden="false" customHeight="false" outlineLevel="0" collapsed="false">
      <c r="A963" s="11" t="n">
        <f aca="false">950*$B$3</f>
        <v>475000</v>
      </c>
      <c r="B963" s="11" t="n">
        <f aca="false">0</f>
        <v>0</v>
      </c>
      <c r="C963" s="11" t="n">
        <f aca="false">A963-B963</f>
        <v>475000</v>
      </c>
      <c r="D963" s="11" t="n">
        <f aca="false">IF(Calculator!$B$6="Yes",MIN(B963,'Tax Tables'!$B$31*'Tax Tables'!$B$32),0)</f>
        <v>0</v>
      </c>
      <c r="E963" s="11" t="n">
        <f aca="false">D963*Calculator!$B$7</f>
        <v>0</v>
      </c>
      <c r="F963" s="11" t="n">
        <f aca="false">D963*Calculator!$B$8</f>
        <v>0</v>
      </c>
      <c r="G963" s="11" t="n">
        <f aca="false">IF(B963&gt;0,'Tax Tables'!$B$32*MIN(MAX(B963/'Tax Tables'!$B$32*'Tax Tables'!$B$33,'Tax Tables'!$B$34),'Tax Tables'!$B$35),0)</f>
        <v>0</v>
      </c>
      <c r="H963" s="11" t="n">
        <f aca="false">Calculator!$B$5-A963-F963-G963</f>
        <v>-75000</v>
      </c>
      <c r="I963" s="11" t="n">
        <f aca="false">'Tax Tables'!$B$22*(MAX(H963,0)-IF(Calculator!$B$10="Yes",MIN(MAX(H963,0),'Tax Tables'!$B$27)*'Tax Tables'!$B$28+MIN(MAX(MAX(H963,0)-'Tax Tables'!$B$27,0),'Tax Tables'!$B$29)*'Tax Tables'!$B$30,MIN(MAX(H963,0),'Tax Tables'!$B$23)*'Tax Tables'!$B$24+MIN(MAX(MAX(H963,0)-'Tax Tables'!$B$23,0),'Tax Tables'!$B$25)*'Tax Tables'!$B$26))*1-MIN('Tax Tables'!$B$22*(MAX(H963,0)-IF(Calculator!$B$10="Yes",MIN(MAX(H963,0),'Tax Tables'!$B$27)*'Tax Tables'!$B$28+MIN(MAX(MAX(H963,0)-'Tax Tables'!$B$27,0),'Tax Tables'!$B$29)*'Tax Tables'!$B$30,MIN(MAX(H963,0),'Tax Tables'!$B$23)*'Tax Tables'!$B$24+MIN(MAX(MAX(H963,0)-'Tax Tables'!$B$23,0),'Tax Tables'!$B$25)*'Tax Tables'!$B$26))*Calculator!$B$11,Calculator!$B$12)</f>
        <v>0</v>
      </c>
      <c r="J963" s="11" t="n">
        <f aca="false">MAX(H963,0)-I963</f>
        <v>0</v>
      </c>
      <c r="K963" s="11" t="n">
        <f aca="false">MIN(IF(A963&gt;0,Calculator!$B$13,0)+E963+Calculator!$B$14,'Tax Tables'!$B$36)</f>
        <v>1000</v>
      </c>
      <c r="L963" s="11" t="n">
        <f aca="false">MAX(A963-K963,0)</f>
        <v>474000</v>
      </c>
      <c r="M963" s="11" t="n">
        <f aca="false">SUMPRODUCT((L963&gt;'Tax Tables'!$A$5:$A$17)*(L963-'Tax Tables'!$A$5:$A$17)*'Tax Tables'!$C$5:$C$17)</f>
        <v>78430</v>
      </c>
      <c r="N963" s="11" t="n">
        <f aca="false">IF(H963&lt;0,-1E+099,A963-E963-M963+J963+(E963+F963)*Calculator!$B$9)</f>
        <v>-1E+099</v>
      </c>
      <c r="O963" s="2"/>
      <c r="P963" s="11" t="n">
        <f aca="false">950*$B$3</f>
        <v>475000</v>
      </c>
      <c r="Q963" s="11" t="n">
        <f aca="false">MIN(P963,'Tax Tables'!$B$31*'Tax Tables'!$B$32)</f>
        <v>96000</v>
      </c>
      <c r="R963" s="11" t="n">
        <f aca="false">P963-Q963</f>
        <v>379000</v>
      </c>
      <c r="S963" s="11" t="n">
        <f aca="false">IF(Calculator!$B$6="Yes",MIN(Q963,'Tax Tables'!$B$31*'Tax Tables'!$B$32),0)</f>
        <v>96000</v>
      </c>
      <c r="T963" s="11" t="n">
        <f aca="false">S963*Calculator!$B$7</f>
        <v>19200</v>
      </c>
      <c r="U963" s="11" t="n">
        <f aca="false">S963*Calculator!$B$8</f>
        <v>16320</v>
      </c>
      <c r="V963" s="11" t="n">
        <f aca="false">IF(Q963&gt;0,'Tax Tables'!$B$32*MIN(MAX(Q963/'Tax Tables'!$B$32*'Tax Tables'!$B$33,'Tax Tables'!$B$34),'Tax Tables'!$B$35),0)</f>
        <v>135</v>
      </c>
      <c r="W963" s="11" t="n">
        <f aca="false">Calculator!$B$5-P963-U963-V963</f>
        <v>-91455</v>
      </c>
      <c r="X963" s="11" t="n">
        <f aca="false">'Tax Tables'!$B$22*(MAX(W963,0)-IF(Calculator!$B$10="Yes",MIN(MAX(W963,0),'Tax Tables'!$B$27)*'Tax Tables'!$B$28+MIN(MAX(MAX(W963,0)-'Tax Tables'!$B$27,0),'Tax Tables'!$B$29)*'Tax Tables'!$B$30,MIN(MAX(W963,0),'Tax Tables'!$B$23)*'Tax Tables'!$B$24+MIN(MAX(MAX(W963,0)-'Tax Tables'!$B$23,0),'Tax Tables'!$B$25)*'Tax Tables'!$B$26))*1-MIN('Tax Tables'!$B$22*(MAX(W963,0)-IF(Calculator!$B$10="Yes",MIN(MAX(W963,0),'Tax Tables'!$B$27)*'Tax Tables'!$B$28+MIN(MAX(MAX(W963,0)-'Tax Tables'!$B$27,0),'Tax Tables'!$B$29)*'Tax Tables'!$B$30,MIN(MAX(W963,0),'Tax Tables'!$B$23)*'Tax Tables'!$B$24+MIN(MAX(MAX(W963,0)-'Tax Tables'!$B$23,0),'Tax Tables'!$B$25)*'Tax Tables'!$B$26))*Calculator!$B$11,Calculator!$B$12)</f>
        <v>0</v>
      </c>
      <c r="Y963" s="11" t="n">
        <f aca="false">MAX(W963,0)-X963</f>
        <v>0</v>
      </c>
      <c r="Z963" s="11" t="n">
        <f aca="false">MIN(IF(P963&gt;0,Calculator!$B$13,0)+T963+Calculator!$B$14,'Tax Tables'!$B$36)</f>
        <v>20200</v>
      </c>
      <c r="AA963" s="11" t="n">
        <f aca="false">MAX(P963-Z963,0)</f>
        <v>454800</v>
      </c>
      <c r="AB963" s="11" t="n">
        <f aca="false">SUMPRODUCT((AA963&gt;'Tax Tables'!$A$5:$A$17)*(AA963-'Tax Tables'!$A$5:$A$17)*'Tax Tables'!$C$5:$C$17)</f>
        <v>74206</v>
      </c>
      <c r="AC963" s="11" t="n">
        <f aca="false">IF(W963&lt;0,-1E+099,P963-T963-AB963+Y963+(T963+U963)*Calculator!$B$9)</f>
        <v>-1E+099</v>
      </c>
    </row>
    <row r="964" customFormat="false" ht="15" hidden="false" customHeight="false" outlineLevel="0" collapsed="false">
      <c r="A964" s="11" t="n">
        <f aca="false">951*$B$3</f>
        <v>475500</v>
      </c>
      <c r="B964" s="11" t="n">
        <f aca="false">0</f>
        <v>0</v>
      </c>
      <c r="C964" s="11" t="n">
        <f aca="false">A964-B964</f>
        <v>475500</v>
      </c>
      <c r="D964" s="11" t="n">
        <f aca="false">IF(Calculator!$B$6="Yes",MIN(B964,'Tax Tables'!$B$31*'Tax Tables'!$B$32),0)</f>
        <v>0</v>
      </c>
      <c r="E964" s="11" t="n">
        <f aca="false">D964*Calculator!$B$7</f>
        <v>0</v>
      </c>
      <c r="F964" s="11" t="n">
        <f aca="false">D964*Calculator!$B$8</f>
        <v>0</v>
      </c>
      <c r="G964" s="11" t="n">
        <f aca="false">IF(B964&gt;0,'Tax Tables'!$B$32*MIN(MAX(B964/'Tax Tables'!$B$32*'Tax Tables'!$B$33,'Tax Tables'!$B$34),'Tax Tables'!$B$35),0)</f>
        <v>0</v>
      </c>
      <c r="H964" s="11" t="n">
        <f aca="false">Calculator!$B$5-A964-F964-G964</f>
        <v>-75500</v>
      </c>
      <c r="I964" s="11" t="n">
        <f aca="false">'Tax Tables'!$B$22*(MAX(H964,0)-IF(Calculator!$B$10="Yes",MIN(MAX(H964,0),'Tax Tables'!$B$27)*'Tax Tables'!$B$28+MIN(MAX(MAX(H964,0)-'Tax Tables'!$B$27,0),'Tax Tables'!$B$29)*'Tax Tables'!$B$30,MIN(MAX(H964,0),'Tax Tables'!$B$23)*'Tax Tables'!$B$24+MIN(MAX(MAX(H964,0)-'Tax Tables'!$B$23,0),'Tax Tables'!$B$25)*'Tax Tables'!$B$26))*1-MIN('Tax Tables'!$B$22*(MAX(H964,0)-IF(Calculator!$B$10="Yes",MIN(MAX(H964,0),'Tax Tables'!$B$27)*'Tax Tables'!$B$28+MIN(MAX(MAX(H964,0)-'Tax Tables'!$B$27,0),'Tax Tables'!$B$29)*'Tax Tables'!$B$30,MIN(MAX(H964,0),'Tax Tables'!$B$23)*'Tax Tables'!$B$24+MIN(MAX(MAX(H964,0)-'Tax Tables'!$B$23,0),'Tax Tables'!$B$25)*'Tax Tables'!$B$26))*Calculator!$B$11,Calculator!$B$12)</f>
        <v>0</v>
      </c>
      <c r="J964" s="11" t="n">
        <f aca="false">MAX(H964,0)-I964</f>
        <v>0</v>
      </c>
      <c r="K964" s="11" t="n">
        <f aca="false">MIN(IF(A964&gt;0,Calculator!$B$13,0)+E964+Calculator!$B$14,'Tax Tables'!$B$36)</f>
        <v>1000</v>
      </c>
      <c r="L964" s="11" t="n">
        <f aca="false">MAX(A964-K964,0)</f>
        <v>474500</v>
      </c>
      <c r="M964" s="11" t="n">
        <f aca="false">SUMPRODUCT((L964&gt;'Tax Tables'!$A$5:$A$17)*(L964-'Tax Tables'!$A$5:$A$17)*'Tax Tables'!$C$5:$C$17)</f>
        <v>78540</v>
      </c>
      <c r="N964" s="11" t="n">
        <f aca="false">IF(H964&lt;0,-1E+099,A964-E964-M964+J964+(E964+F964)*Calculator!$B$9)</f>
        <v>-1E+099</v>
      </c>
      <c r="O964" s="2"/>
      <c r="P964" s="11" t="n">
        <f aca="false">951*$B$3</f>
        <v>475500</v>
      </c>
      <c r="Q964" s="11" t="n">
        <f aca="false">MIN(P964,'Tax Tables'!$B$31*'Tax Tables'!$B$32)</f>
        <v>96000</v>
      </c>
      <c r="R964" s="11" t="n">
        <f aca="false">P964-Q964</f>
        <v>379500</v>
      </c>
      <c r="S964" s="11" t="n">
        <f aca="false">IF(Calculator!$B$6="Yes",MIN(Q964,'Tax Tables'!$B$31*'Tax Tables'!$B$32),0)</f>
        <v>96000</v>
      </c>
      <c r="T964" s="11" t="n">
        <f aca="false">S964*Calculator!$B$7</f>
        <v>19200</v>
      </c>
      <c r="U964" s="11" t="n">
        <f aca="false">S964*Calculator!$B$8</f>
        <v>16320</v>
      </c>
      <c r="V964" s="11" t="n">
        <f aca="false">IF(Q964&gt;0,'Tax Tables'!$B$32*MIN(MAX(Q964/'Tax Tables'!$B$32*'Tax Tables'!$B$33,'Tax Tables'!$B$34),'Tax Tables'!$B$35),0)</f>
        <v>135</v>
      </c>
      <c r="W964" s="11" t="n">
        <f aca="false">Calculator!$B$5-P964-U964-V964</f>
        <v>-91955</v>
      </c>
      <c r="X964" s="11" t="n">
        <f aca="false">'Tax Tables'!$B$22*(MAX(W964,0)-IF(Calculator!$B$10="Yes",MIN(MAX(W964,0),'Tax Tables'!$B$27)*'Tax Tables'!$B$28+MIN(MAX(MAX(W964,0)-'Tax Tables'!$B$27,0),'Tax Tables'!$B$29)*'Tax Tables'!$B$30,MIN(MAX(W964,0),'Tax Tables'!$B$23)*'Tax Tables'!$B$24+MIN(MAX(MAX(W964,0)-'Tax Tables'!$B$23,0),'Tax Tables'!$B$25)*'Tax Tables'!$B$26))*1-MIN('Tax Tables'!$B$22*(MAX(W964,0)-IF(Calculator!$B$10="Yes",MIN(MAX(W964,0),'Tax Tables'!$B$27)*'Tax Tables'!$B$28+MIN(MAX(MAX(W964,0)-'Tax Tables'!$B$27,0),'Tax Tables'!$B$29)*'Tax Tables'!$B$30,MIN(MAX(W964,0),'Tax Tables'!$B$23)*'Tax Tables'!$B$24+MIN(MAX(MAX(W964,0)-'Tax Tables'!$B$23,0),'Tax Tables'!$B$25)*'Tax Tables'!$B$26))*Calculator!$B$11,Calculator!$B$12)</f>
        <v>0</v>
      </c>
      <c r="Y964" s="11" t="n">
        <f aca="false">MAX(W964,0)-X964</f>
        <v>0</v>
      </c>
      <c r="Z964" s="11" t="n">
        <f aca="false">MIN(IF(P964&gt;0,Calculator!$B$13,0)+T964+Calculator!$B$14,'Tax Tables'!$B$36)</f>
        <v>20200</v>
      </c>
      <c r="AA964" s="11" t="n">
        <f aca="false">MAX(P964-Z964,0)</f>
        <v>455300</v>
      </c>
      <c r="AB964" s="11" t="n">
        <f aca="false">SUMPRODUCT((AA964&gt;'Tax Tables'!$A$5:$A$17)*(AA964-'Tax Tables'!$A$5:$A$17)*'Tax Tables'!$C$5:$C$17)</f>
        <v>74316</v>
      </c>
      <c r="AC964" s="11" t="n">
        <f aca="false">IF(W964&lt;0,-1E+099,P964-T964-AB964+Y964+(T964+U964)*Calculator!$B$9)</f>
        <v>-1E+099</v>
      </c>
    </row>
    <row r="965" customFormat="false" ht="15" hidden="false" customHeight="false" outlineLevel="0" collapsed="false">
      <c r="A965" s="11" t="n">
        <f aca="false">952*$B$3</f>
        <v>476000</v>
      </c>
      <c r="B965" s="11" t="n">
        <f aca="false">0</f>
        <v>0</v>
      </c>
      <c r="C965" s="11" t="n">
        <f aca="false">A965-B965</f>
        <v>476000</v>
      </c>
      <c r="D965" s="11" t="n">
        <f aca="false">IF(Calculator!$B$6="Yes",MIN(B965,'Tax Tables'!$B$31*'Tax Tables'!$B$32),0)</f>
        <v>0</v>
      </c>
      <c r="E965" s="11" t="n">
        <f aca="false">D965*Calculator!$B$7</f>
        <v>0</v>
      </c>
      <c r="F965" s="11" t="n">
        <f aca="false">D965*Calculator!$B$8</f>
        <v>0</v>
      </c>
      <c r="G965" s="11" t="n">
        <f aca="false">IF(B965&gt;0,'Tax Tables'!$B$32*MIN(MAX(B965/'Tax Tables'!$B$32*'Tax Tables'!$B$33,'Tax Tables'!$B$34),'Tax Tables'!$B$35),0)</f>
        <v>0</v>
      </c>
      <c r="H965" s="11" t="n">
        <f aca="false">Calculator!$B$5-A965-F965-G965</f>
        <v>-76000</v>
      </c>
      <c r="I965" s="11" t="n">
        <f aca="false">'Tax Tables'!$B$22*(MAX(H965,0)-IF(Calculator!$B$10="Yes",MIN(MAX(H965,0),'Tax Tables'!$B$27)*'Tax Tables'!$B$28+MIN(MAX(MAX(H965,0)-'Tax Tables'!$B$27,0),'Tax Tables'!$B$29)*'Tax Tables'!$B$30,MIN(MAX(H965,0),'Tax Tables'!$B$23)*'Tax Tables'!$B$24+MIN(MAX(MAX(H965,0)-'Tax Tables'!$B$23,0),'Tax Tables'!$B$25)*'Tax Tables'!$B$26))*1-MIN('Tax Tables'!$B$22*(MAX(H965,0)-IF(Calculator!$B$10="Yes",MIN(MAX(H965,0),'Tax Tables'!$B$27)*'Tax Tables'!$B$28+MIN(MAX(MAX(H965,0)-'Tax Tables'!$B$27,0),'Tax Tables'!$B$29)*'Tax Tables'!$B$30,MIN(MAX(H965,0),'Tax Tables'!$B$23)*'Tax Tables'!$B$24+MIN(MAX(MAX(H965,0)-'Tax Tables'!$B$23,0),'Tax Tables'!$B$25)*'Tax Tables'!$B$26))*Calculator!$B$11,Calculator!$B$12)</f>
        <v>0</v>
      </c>
      <c r="J965" s="11" t="n">
        <f aca="false">MAX(H965,0)-I965</f>
        <v>0</v>
      </c>
      <c r="K965" s="11" t="n">
        <f aca="false">MIN(IF(A965&gt;0,Calculator!$B$13,0)+E965+Calculator!$B$14,'Tax Tables'!$B$36)</f>
        <v>1000</v>
      </c>
      <c r="L965" s="11" t="n">
        <f aca="false">MAX(A965-K965,0)</f>
        <v>475000</v>
      </c>
      <c r="M965" s="11" t="n">
        <f aca="false">SUMPRODUCT((L965&gt;'Tax Tables'!$A$5:$A$17)*(L965-'Tax Tables'!$A$5:$A$17)*'Tax Tables'!$C$5:$C$17)</f>
        <v>78650</v>
      </c>
      <c r="N965" s="11" t="n">
        <f aca="false">IF(H965&lt;0,-1E+099,A965-E965-M965+J965+(E965+F965)*Calculator!$B$9)</f>
        <v>-1E+099</v>
      </c>
      <c r="O965" s="2"/>
      <c r="P965" s="11" t="n">
        <f aca="false">952*$B$3</f>
        <v>476000</v>
      </c>
      <c r="Q965" s="11" t="n">
        <f aca="false">MIN(P965,'Tax Tables'!$B$31*'Tax Tables'!$B$32)</f>
        <v>96000</v>
      </c>
      <c r="R965" s="11" t="n">
        <f aca="false">P965-Q965</f>
        <v>380000</v>
      </c>
      <c r="S965" s="11" t="n">
        <f aca="false">IF(Calculator!$B$6="Yes",MIN(Q965,'Tax Tables'!$B$31*'Tax Tables'!$B$32),0)</f>
        <v>96000</v>
      </c>
      <c r="T965" s="11" t="n">
        <f aca="false">S965*Calculator!$B$7</f>
        <v>19200</v>
      </c>
      <c r="U965" s="11" t="n">
        <f aca="false">S965*Calculator!$B$8</f>
        <v>16320</v>
      </c>
      <c r="V965" s="11" t="n">
        <f aca="false">IF(Q965&gt;0,'Tax Tables'!$B$32*MIN(MAX(Q965/'Tax Tables'!$B$32*'Tax Tables'!$B$33,'Tax Tables'!$B$34),'Tax Tables'!$B$35),0)</f>
        <v>135</v>
      </c>
      <c r="W965" s="11" t="n">
        <f aca="false">Calculator!$B$5-P965-U965-V965</f>
        <v>-92455</v>
      </c>
      <c r="X965" s="11" t="n">
        <f aca="false">'Tax Tables'!$B$22*(MAX(W965,0)-IF(Calculator!$B$10="Yes",MIN(MAX(W965,0),'Tax Tables'!$B$27)*'Tax Tables'!$B$28+MIN(MAX(MAX(W965,0)-'Tax Tables'!$B$27,0),'Tax Tables'!$B$29)*'Tax Tables'!$B$30,MIN(MAX(W965,0),'Tax Tables'!$B$23)*'Tax Tables'!$B$24+MIN(MAX(MAX(W965,0)-'Tax Tables'!$B$23,0),'Tax Tables'!$B$25)*'Tax Tables'!$B$26))*1-MIN('Tax Tables'!$B$22*(MAX(W965,0)-IF(Calculator!$B$10="Yes",MIN(MAX(W965,0),'Tax Tables'!$B$27)*'Tax Tables'!$B$28+MIN(MAX(MAX(W965,0)-'Tax Tables'!$B$27,0),'Tax Tables'!$B$29)*'Tax Tables'!$B$30,MIN(MAX(W965,0),'Tax Tables'!$B$23)*'Tax Tables'!$B$24+MIN(MAX(MAX(W965,0)-'Tax Tables'!$B$23,0),'Tax Tables'!$B$25)*'Tax Tables'!$B$26))*Calculator!$B$11,Calculator!$B$12)</f>
        <v>0</v>
      </c>
      <c r="Y965" s="11" t="n">
        <f aca="false">MAX(W965,0)-X965</f>
        <v>0</v>
      </c>
      <c r="Z965" s="11" t="n">
        <f aca="false">MIN(IF(P965&gt;0,Calculator!$B$13,0)+T965+Calculator!$B$14,'Tax Tables'!$B$36)</f>
        <v>20200</v>
      </c>
      <c r="AA965" s="11" t="n">
        <f aca="false">MAX(P965-Z965,0)</f>
        <v>455800</v>
      </c>
      <c r="AB965" s="11" t="n">
        <f aca="false">SUMPRODUCT((AA965&gt;'Tax Tables'!$A$5:$A$17)*(AA965-'Tax Tables'!$A$5:$A$17)*'Tax Tables'!$C$5:$C$17)</f>
        <v>74426</v>
      </c>
      <c r="AC965" s="11" t="n">
        <f aca="false">IF(W965&lt;0,-1E+099,P965-T965-AB965+Y965+(T965+U965)*Calculator!$B$9)</f>
        <v>-1E+099</v>
      </c>
    </row>
    <row r="966" customFormat="false" ht="15" hidden="false" customHeight="false" outlineLevel="0" collapsed="false">
      <c r="A966" s="11" t="n">
        <f aca="false">953*$B$3</f>
        <v>476500</v>
      </c>
      <c r="B966" s="11" t="n">
        <f aca="false">0</f>
        <v>0</v>
      </c>
      <c r="C966" s="11" t="n">
        <f aca="false">A966-B966</f>
        <v>476500</v>
      </c>
      <c r="D966" s="11" t="n">
        <f aca="false">IF(Calculator!$B$6="Yes",MIN(B966,'Tax Tables'!$B$31*'Tax Tables'!$B$32),0)</f>
        <v>0</v>
      </c>
      <c r="E966" s="11" t="n">
        <f aca="false">D966*Calculator!$B$7</f>
        <v>0</v>
      </c>
      <c r="F966" s="11" t="n">
        <f aca="false">D966*Calculator!$B$8</f>
        <v>0</v>
      </c>
      <c r="G966" s="11" t="n">
        <f aca="false">IF(B966&gt;0,'Tax Tables'!$B$32*MIN(MAX(B966/'Tax Tables'!$B$32*'Tax Tables'!$B$33,'Tax Tables'!$B$34),'Tax Tables'!$B$35),0)</f>
        <v>0</v>
      </c>
      <c r="H966" s="11" t="n">
        <f aca="false">Calculator!$B$5-A966-F966-G966</f>
        <v>-76500</v>
      </c>
      <c r="I966" s="11" t="n">
        <f aca="false">'Tax Tables'!$B$22*(MAX(H966,0)-IF(Calculator!$B$10="Yes",MIN(MAX(H966,0),'Tax Tables'!$B$27)*'Tax Tables'!$B$28+MIN(MAX(MAX(H966,0)-'Tax Tables'!$B$27,0),'Tax Tables'!$B$29)*'Tax Tables'!$B$30,MIN(MAX(H966,0),'Tax Tables'!$B$23)*'Tax Tables'!$B$24+MIN(MAX(MAX(H966,0)-'Tax Tables'!$B$23,0),'Tax Tables'!$B$25)*'Tax Tables'!$B$26))*1-MIN('Tax Tables'!$B$22*(MAX(H966,0)-IF(Calculator!$B$10="Yes",MIN(MAX(H966,0),'Tax Tables'!$B$27)*'Tax Tables'!$B$28+MIN(MAX(MAX(H966,0)-'Tax Tables'!$B$27,0),'Tax Tables'!$B$29)*'Tax Tables'!$B$30,MIN(MAX(H966,0),'Tax Tables'!$B$23)*'Tax Tables'!$B$24+MIN(MAX(MAX(H966,0)-'Tax Tables'!$B$23,0),'Tax Tables'!$B$25)*'Tax Tables'!$B$26))*Calculator!$B$11,Calculator!$B$12)</f>
        <v>0</v>
      </c>
      <c r="J966" s="11" t="n">
        <f aca="false">MAX(H966,0)-I966</f>
        <v>0</v>
      </c>
      <c r="K966" s="11" t="n">
        <f aca="false">MIN(IF(A966&gt;0,Calculator!$B$13,0)+E966+Calculator!$B$14,'Tax Tables'!$B$36)</f>
        <v>1000</v>
      </c>
      <c r="L966" s="11" t="n">
        <f aca="false">MAX(A966-K966,0)</f>
        <v>475500</v>
      </c>
      <c r="M966" s="11" t="n">
        <f aca="false">SUMPRODUCT((L966&gt;'Tax Tables'!$A$5:$A$17)*(L966-'Tax Tables'!$A$5:$A$17)*'Tax Tables'!$C$5:$C$17)</f>
        <v>78760</v>
      </c>
      <c r="N966" s="11" t="n">
        <f aca="false">IF(H966&lt;0,-1E+099,A966-E966-M966+J966+(E966+F966)*Calculator!$B$9)</f>
        <v>-1E+099</v>
      </c>
      <c r="O966" s="2"/>
      <c r="P966" s="11" t="n">
        <f aca="false">953*$B$3</f>
        <v>476500</v>
      </c>
      <c r="Q966" s="11" t="n">
        <f aca="false">MIN(P966,'Tax Tables'!$B$31*'Tax Tables'!$B$32)</f>
        <v>96000</v>
      </c>
      <c r="R966" s="11" t="n">
        <f aca="false">P966-Q966</f>
        <v>380500</v>
      </c>
      <c r="S966" s="11" t="n">
        <f aca="false">IF(Calculator!$B$6="Yes",MIN(Q966,'Tax Tables'!$B$31*'Tax Tables'!$B$32),0)</f>
        <v>96000</v>
      </c>
      <c r="T966" s="11" t="n">
        <f aca="false">S966*Calculator!$B$7</f>
        <v>19200</v>
      </c>
      <c r="U966" s="11" t="n">
        <f aca="false">S966*Calculator!$B$8</f>
        <v>16320</v>
      </c>
      <c r="V966" s="11" t="n">
        <f aca="false">IF(Q966&gt;0,'Tax Tables'!$B$32*MIN(MAX(Q966/'Tax Tables'!$B$32*'Tax Tables'!$B$33,'Tax Tables'!$B$34),'Tax Tables'!$B$35),0)</f>
        <v>135</v>
      </c>
      <c r="W966" s="11" t="n">
        <f aca="false">Calculator!$B$5-P966-U966-V966</f>
        <v>-92955</v>
      </c>
      <c r="X966" s="11" t="n">
        <f aca="false">'Tax Tables'!$B$22*(MAX(W966,0)-IF(Calculator!$B$10="Yes",MIN(MAX(W966,0),'Tax Tables'!$B$27)*'Tax Tables'!$B$28+MIN(MAX(MAX(W966,0)-'Tax Tables'!$B$27,0),'Tax Tables'!$B$29)*'Tax Tables'!$B$30,MIN(MAX(W966,0),'Tax Tables'!$B$23)*'Tax Tables'!$B$24+MIN(MAX(MAX(W966,0)-'Tax Tables'!$B$23,0),'Tax Tables'!$B$25)*'Tax Tables'!$B$26))*1-MIN('Tax Tables'!$B$22*(MAX(W966,0)-IF(Calculator!$B$10="Yes",MIN(MAX(W966,0),'Tax Tables'!$B$27)*'Tax Tables'!$B$28+MIN(MAX(MAX(W966,0)-'Tax Tables'!$B$27,0),'Tax Tables'!$B$29)*'Tax Tables'!$B$30,MIN(MAX(W966,0),'Tax Tables'!$B$23)*'Tax Tables'!$B$24+MIN(MAX(MAX(W966,0)-'Tax Tables'!$B$23,0),'Tax Tables'!$B$25)*'Tax Tables'!$B$26))*Calculator!$B$11,Calculator!$B$12)</f>
        <v>0</v>
      </c>
      <c r="Y966" s="11" t="n">
        <f aca="false">MAX(W966,0)-X966</f>
        <v>0</v>
      </c>
      <c r="Z966" s="11" t="n">
        <f aca="false">MIN(IF(P966&gt;0,Calculator!$B$13,0)+T966+Calculator!$B$14,'Tax Tables'!$B$36)</f>
        <v>20200</v>
      </c>
      <c r="AA966" s="11" t="n">
        <f aca="false">MAX(P966-Z966,0)</f>
        <v>456300</v>
      </c>
      <c r="AB966" s="11" t="n">
        <f aca="false">SUMPRODUCT((AA966&gt;'Tax Tables'!$A$5:$A$17)*(AA966-'Tax Tables'!$A$5:$A$17)*'Tax Tables'!$C$5:$C$17)</f>
        <v>74536</v>
      </c>
      <c r="AC966" s="11" t="n">
        <f aca="false">IF(W966&lt;0,-1E+099,P966-T966-AB966+Y966+(T966+U966)*Calculator!$B$9)</f>
        <v>-1E+099</v>
      </c>
    </row>
    <row r="967" customFormat="false" ht="15" hidden="false" customHeight="false" outlineLevel="0" collapsed="false">
      <c r="A967" s="11" t="n">
        <f aca="false">954*$B$3</f>
        <v>477000</v>
      </c>
      <c r="B967" s="11" t="n">
        <f aca="false">0</f>
        <v>0</v>
      </c>
      <c r="C967" s="11" t="n">
        <f aca="false">A967-B967</f>
        <v>477000</v>
      </c>
      <c r="D967" s="11" t="n">
        <f aca="false">IF(Calculator!$B$6="Yes",MIN(B967,'Tax Tables'!$B$31*'Tax Tables'!$B$32),0)</f>
        <v>0</v>
      </c>
      <c r="E967" s="11" t="n">
        <f aca="false">D967*Calculator!$B$7</f>
        <v>0</v>
      </c>
      <c r="F967" s="11" t="n">
        <f aca="false">D967*Calculator!$B$8</f>
        <v>0</v>
      </c>
      <c r="G967" s="11" t="n">
        <f aca="false">IF(B967&gt;0,'Tax Tables'!$B$32*MIN(MAX(B967/'Tax Tables'!$B$32*'Tax Tables'!$B$33,'Tax Tables'!$B$34),'Tax Tables'!$B$35),0)</f>
        <v>0</v>
      </c>
      <c r="H967" s="11" t="n">
        <f aca="false">Calculator!$B$5-A967-F967-G967</f>
        <v>-77000</v>
      </c>
      <c r="I967" s="11" t="n">
        <f aca="false">'Tax Tables'!$B$22*(MAX(H967,0)-IF(Calculator!$B$10="Yes",MIN(MAX(H967,0),'Tax Tables'!$B$27)*'Tax Tables'!$B$28+MIN(MAX(MAX(H967,0)-'Tax Tables'!$B$27,0),'Tax Tables'!$B$29)*'Tax Tables'!$B$30,MIN(MAX(H967,0),'Tax Tables'!$B$23)*'Tax Tables'!$B$24+MIN(MAX(MAX(H967,0)-'Tax Tables'!$B$23,0),'Tax Tables'!$B$25)*'Tax Tables'!$B$26))*1-MIN('Tax Tables'!$B$22*(MAX(H967,0)-IF(Calculator!$B$10="Yes",MIN(MAX(H967,0),'Tax Tables'!$B$27)*'Tax Tables'!$B$28+MIN(MAX(MAX(H967,0)-'Tax Tables'!$B$27,0),'Tax Tables'!$B$29)*'Tax Tables'!$B$30,MIN(MAX(H967,0),'Tax Tables'!$B$23)*'Tax Tables'!$B$24+MIN(MAX(MAX(H967,0)-'Tax Tables'!$B$23,0),'Tax Tables'!$B$25)*'Tax Tables'!$B$26))*Calculator!$B$11,Calculator!$B$12)</f>
        <v>0</v>
      </c>
      <c r="J967" s="11" t="n">
        <f aca="false">MAX(H967,0)-I967</f>
        <v>0</v>
      </c>
      <c r="K967" s="11" t="n">
        <f aca="false">MIN(IF(A967&gt;0,Calculator!$B$13,0)+E967+Calculator!$B$14,'Tax Tables'!$B$36)</f>
        <v>1000</v>
      </c>
      <c r="L967" s="11" t="n">
        <f aca="false">MAX(A967-K967,0)</f>
        <v>476000</v>
      </c>
      <c r="M967" s="11" t="n">
        <f aca="false">SUMPRODUCT((L967&gt;'Tax Tables'!$A$5:$A$17)*(L967-'Tax Tables'!$A$5:$A$17)*'Tax Tables'!$C$5:$C$17)</f>
        <v>78870</v>
      </c>
      <c r="N967" s="11" t="n">
        <f aca="false">IF(H967&lt;0,-1E+099,A967-E967-M967+J967+(E967+F967)*Calculator!$B$9)</f>
        <v>-1E+099</v>
      </c>
      <c r="O967" s="2"/>
      <c r="P967" s="11" t="n">
        <f aca="false">954*$B$3</f>
        <v>477000</v>
      </c>
      <c r="Q967" s="11" t="n">
        <f aca="false">MIN(P967,'Tax Tables'!$B$31*'Tax Tables'!$B$32)</f>
        <v>96000</v>
      </c>
      <c r="R967" s="11" t="n">
        <f aca="false">P967-Q967</f>
        <v>381000</v>
      </c>
      <c r="S967" s="11" t="n">
        <f aca="false">IF(Calculator!$B$6="Yes",MIN(Q967,'Tax Tables'!$B$31*'Tax Tables'!$B$32),0)</f>
        <v>96000</v>
      </c>
      <c r="T967" s="11" t="n">
        <f aca="false">S967*Calculator!$B$7</f>
        <v>19200</v>
      </c>
      <c r="U967" s="11" t="n">
        <f aca="false">S967*Calculator!$B$8</f>
        <v>16320</v>
      </c>
      <c r="V967" s="11" t="n">
        <f aca="false">IF(Q967&gt;0,'Tax Tables'!$B$32*MIN(MAX(Q967/'Tax Tables'!$B$32*'Tax Tables'!$B$33,'Tax Tables'!$B$34),'Tax Tables'!$B$35),0)</f>
        <v>135</v>
      </c>
      <c r="W967" s="11" t="n">
        <f aca="false">Calculator!$B$5-P967-U967-V967</f>
        <v>-93455</v>
      </c>
      <c r="X967" s="11" t="n">
        <f aca="false">'Tax Tables'!$B$22*(MAX(W967,0)-IF(Calculator!$B$10="Yes",MIN(MAX(W967,0),'Tax Tables'!$B$27)*'Tax Tables'!$B$28+MIN(MAX(MAX(W967,0)-'Tax Tables'!$B$27,0),'Tax Tables'!$B$29)*'Tax Tables'!$B$30,MIN(MAX(W967,0),'Tax Tables'!$B$23)*'Tax Tables'!$B$24+MIN(MAX(MAX(W967,0)-'Tax Tables'!$B$23,0),'Tax Tables'!$B$25)*'Tax Tables'!$B$26))*1-MIN('Tax Tables'!$B$22*(MAX(W967,0)-IF(Calculator!$B$10="Yes",MIN(MAX(W967,0),'Tax Tables'!$B$27)*'Tax Tables'!$B$28+MIN(MAX(MAX(W967,0)-'Tax Tables'!$B$27,0),'Tax Tables'!$B$29)*'Tax Tables'!$B$30,MIN(MAX(W967,0),'Tax Tables'!$B$23)*'Tax Tables'!$B$24+MIN(MAX(MAX(W967,0)-'Tax Tables'!$B$23,0),'Tax Tables'!$B$25)*'Tax Tables'!$B$26))*Calculator!$B$11,Calculator!$B$12)</f>
        <v>0</v>
      </c>
      <c r="Y967" s="11" t="n">
        <f aca="false">MAX(W967,0)-X967</f>
        <v>0</v>
      </c>
      <c r="Z967" s="11" t="n">
        <f aca="false">MIN(IF(P967&gt;0,Calculator!$B$13,0)+T967+Calculator!$B$14,'Tax Tables'!$B$36)</f>
        <v>20200</v>
      </c>
      <c r="AA967" s="11" t="n">
        <f aca="false">MAX(P967-Z967,0)</f>
        <v>456800</v>
      </c>
      <c r="AB967" s="11" t="n">
        <f aca="false">SUMPRODUCT((AA967&gt;'Tax Tables'!$A$5:$A$17)*(AA967-'Tax Tables'!$A$5:$A$17)*'Tax Tables'!$C$5:$C$17)</f>
        <v>74646</v>
      </c>
      <c r="AC967" s="11" t="n">
        <f aca="false">IF(W967&lt;0,-1E+099,P967-T967-AB967+Y967+(T967+U967)*Calculator!$B$9)</f>
        <v>-1E+099</v>
      </c>
    </row>
    <row r="968" customFormat="false" ht="15" hidden="false" customHeight="false" outlineLevel="0" collapsed="false">
      <c r="A968" s="11" t="n">
        <f aca="false">955*$B$3</f>
        <v>477500</v>
      </c>
      <c r="B968" s="11" t="n">
        <f aca="false">0</f>
        <v>0</v>
      </c>
      <c r="C968" s="11" t="n">
        <f aca="false">A968-B968</f>
        <v>477500</v>
      </c>
      <c r="D968" s="11" t="n">
        <f aca="false">IF(Calculator!$B$6="Yes",MIN(B968,'Tax Tables'!$B$31*'Tax Tables'!$B$32),0)</f>
        <v>0</v>
      </c>
      <c r="E968" s="11" t="n">
        <f aca="false">D968*Calculator!$B$7</f>
        <v>0</v>
      </c>
      <c r="F968" s="11" t="n">
        <f aca="false">D968*Calculator!$B$8</f>
        <v>0</v>
      </c>
      <c r="G968" s="11" t="n">
        <f aca="false">IF(B968&gt;0,'Tax Tables'!$B$32*MIN(MAX(B968/'Tax Tables'!$B$32*'Tax Tables'!$B$33,'Tax Tables'!$B$34),'Tax Tables'!$B$35),0)</f>
        <v>0</v>
      </c>
      <c r="H968" s="11" t="n">
        <f aca="false">Calculator!$B$5-A968-F968-G968</f>
        <v>-77500</v>
      </c>
      <c r="I968" s="11" t="n">
        <f aca="false">'Tax Tables'!$B$22*(MAX(H968,0)-IF(Calculator!$B$10="Yes",MIN(MAX(H968,0),'Tax Tables'!$B$27)*'Tax Tables'!$B$28+MIN(MAX(MAX(H968,0)-'Tax Tables'!$B$27,0),'Tax Tables'!$B$29)*'Tax Tables'!$B$30,MIN(MAX(H968,0),'Tax Tables'!$B$23)*'Tax Tables'!$B$24+MIN(MAX(MAX(H968,0)-'Tax Tables'!$B$23,0),'Tax Tables'!$B$25)*'Tax Tables'!$B$26))*1-MIN('Tax Tables'!$B$22*(MAX(H968,0)-IF(Calculator!$B$10="Yes",MIN(MAX(H968,0),'Tax Tables'!$B$27)*'Tax Tables'!$B$28+MIN(MAX(MAX(H968,0)-'Tax Tables'!$B$27,0),'Tax Tables'!$B$29)*'Tax Tables'!$B$30,MIN(MAX(H968,0),'Tax Tables'!$B$23)*'Tax Tables'!$B$24+MIN(MAX(MAX(H968,0)-'Tax Tables'!$B$23,0),'Tax Tables'!$B$25)*'Tax Tables'!$B$26))*Calculator!$B$11,Calculator!$B$12)</f>
        <v>0</v>
      </c>
      <c r="J968" s="11" t="n">
        <f aca="false">MAX(H968,0)-I968</f>
        <v>0</v>
      </c>
      <c r="K968" s="11" t="n">
        <f aca="false">MIN(IF(A968&gt;0,Calculator!$B$13,0)+E968+Calculator!$B$14,'Tax Tables'!$B$36)</f>
        <v>1000</v>
      </c>
      <c r="L968" s="11" t="n">
        <f aca="false">MAX(A968-K968,0)</f>
        <v>476500</v>
      </c>
      <c r="M968" s="11" t="n">
        <f aca="false">SUMPRODUCT((L968&gt;'Tax Tables'!$A$5:$A$17)*(L968-'Tax Tables'!$A$5:$A$17)*'Tax Tables'!$C$5:$C$17)</f>
        <v>78980</v>
      </c>
      <c r="N968" s="11" t="n">
        <f aca="false">IF(H968&lt;0,-1E+099,A968-E968-M968+J968+(E968+F968)*Calculator!$B$9)</f>
        <v>-1E+099</v>
      </c>
      <c r="O968" s="2"/>
      <c r="P968" s="11" t="n">
        <f aca="false">955*$B$3</f>
        <v>477500</v>
      </c>
      <c r="Q968" s="11" t="n">
        <f aca="false">MIN(P968,'Tax Tables'!$B$31*'Tax Tables'!$B$32)</f>
        <v>96000</v>
      </c>
      <c r="R968" s="11" t="n">
        <f aca="false">P968-Q968</f>
        <v>381500</v>
      </c>
      <c r="S968" s="11" t="n">
        <f aca="false">IF(Calculator!$B$6="Yes",MIN(Q968,'Tax Tables'!$B$31*'Tax Tables'!$B$32),0)</f>
        <v>96000</v>
      </c>
      <c r="T968" s="11" t="n">
        <f aca="false">S968*Calculator!$B$7</f>
        <v>19200</v>
      </c>
      <c r="U968" s="11" t="n">
        <f aca="false">S968*Calculator!$B$8</f>
        <v>16320</v>
      </c>
      <c r="V968" s="11" t="n">
        <f aca="false">IF(Q968&gt;0,'Tax Tables'!$B$32*MIN(MAX(Q968/'Tax Tables'!$B$32*'Tax Tables'!$B$33,'Tax Tables'!$B$34),'Tax Tables'!$B$35),0)</f>
        <v>135</v>
      </c>
      <c r="W968" s="11" t="n">
        <f aca="false">Calculator!$B$5-P968-U968-V968</f>
        <v>-93955</v>
      </c>
      <c r="X968" s="11" t="n">
        <f aca="false">'Tax Tables'!$B$22*(MAX(W968,0)-IF(Calculator!$B$10="Yes",MIN(MAX(W968,0),'Tax Tables'!$B$27)*'Tax Tables'!$B$28+MIN(MAX(MAX(W968,0)-'Tax Tables'!$B$27,0),'Tax Tables'!$B$29)*'Tax Tables'!$B$30,MIN(MAX(W968,0),'Tax Tables'!$B$23)*'Tax Tables'!$B$24+MIN(MAX(MAX(W968,0)-'Tax Tables'!$B$23,0),'Tax Tables'!$B$25)*'Tax Tables'!$B$26))*1-MIN('Tax Tables'!$B$22*(MAX(W968,0)-IF(Calculator!$B$10="Yes",MIN(MAX(W968,0),'Tax Tables'!$B$27)*'Tax Tables'!$B$28+MIN(MAX(MAX(W968,0)-'Tax Tables'!$B$27,0),'Tax Tables'!$B$29)*'Tax Tables'!$B$30,MIN(MAX(W968,0),'Tax Tables'!$B$23)*'Tax Tables'!$B$24+MIN(MAX(MAX(W968,0)-'Tax Tables'!$B$23,0),'Tax Tables'!$B$25)*'Tax Tables'!$B$26))*Calculator!$B$11,Calculator!$B$12)</f>
        <v>0</v>
      </c>
      <c r="Y968" s="11" t="n">
        <f aca="false">MAX(W968,0)-X968</f>
        <v>0</v>
      </c>
      <c r="Z968" s="11" t="n">
        <f aca="false">MIN(IF(P968&gt;0,Calculator!$B$13,0)+T968+Calculator!$B$14,'Tax Tables'!$B$36)</f>
        <v>20200</v>
      </c>
      <c r="AA968" s="11" t="n">
        <f aca="false">MAX(P968-Z968,0)</f>
        <v>457300</v>
      </c>
      <c r="AB968" s="11" t="n">
        <f aca="false">SUMPRODUCT((AA968&gt;'Tax Tables'!$A$5:$A$17)*(AA968-'Tax Tables'!$A$5:$A$17)*'Tax Tables'!$C$5:$C$17)</f>
        <v>74756</v>
      </c>
      <c r="AC968" s="11" t="n">
        <f aca="false">IF(W968&lt;0,-1E+099,P968-T968-AB968+Y968+(T968+U968)*Calculator!$B$9)</f>
        <v>-1E+099</v>
      </c>
    </row>
    <row r="969" customFormat="false" ht="15" hidden="false" customHeight="false" outlineLevel="0" collapsed="false">
      <c r="A969" s="11" t="n">
        <f aca="false">956*$B$3</f>
        <v>478000</v>
      </c>
      <c r="B969" s="11" t="n">
        <f aca="false">0</f>
        <v>0</v>
      </c>
      <c r="C969" s="11" t="n">
        <f aca="false">A969-B969</f>
        <v>478000</v>
      </c>
      <c r="D969" s="11" t="n">
        <f aca="false">IF(Calculator!$B$6="Yes",MIN(B969,'Tax Tables'!$B$31*'Tax Tables'!$B$32),0)</f>
        <v>0</v>
      </c>
      <c r="E969" s="11" t="n">
        <f aca="false">D969*Calculator!$B$7</f>
        <v>0</v>
      </c>
      <c r="F969" s="11" t="n">
        <f aca="false">D969*Calculator!$B$8</f>
        <v>0</v>
      </c>
      <c r="G969" s="11" t="n">
        <f aca="false">IF(B969&gt;0,'Tax Tables'!$B$32*MIN(MAX(B969/'Tax Tables'!$B$32*'Tax Tables'!$B$33,'Tax Tables'!$B$34),'Tax Tables'!$B$35),0)</f>
        <v>0</v>
      </c>
      <c r="H969" s="11" t="n">
        <f aca="false">Calculator!$B$5-A969-F969-G969</f>
        <v>-78000</v>
      </c>
      <c r="I969" s="11" t="n">
        <f aca="false">'Tax Tables'!$B$22*(MAX(H969,0)-IF(Calculator!$B$10="Yes",MIN(MAX(H969,0),'Tax Tables'!$B$27)*'Tax Tables'!$B$28+MIN(MAX(MAX(H969,0)-'Tax Tables'!$B$27,0),'Tax Tables'!$B$29)*'Tax Tables'!$B$30,MIN(MAX(H969,0),'Tax Tables'!$B$23)*'Tax Tables'!$B$24+MIN(MAX(MAX(H969,0)-'Tax Tables'!$B$23,0),'Tax Tables'!$B$25)*'Tax Tables'!$B$26))*1-MIN('Tax Tables'!$B$22*(MAX(H969,0)-IF(Calculator!$B$10="Yes",MIN(MAX(H969,0),'Tax Tables'!$B$27)*'Tax Tables'!$B$28+MIN(MAX(MAX(H969,0)-'Tax Tables'!$B$27,0),'Tax Tables'!$B$29)*'Tax Tables'!$B$30,MIN(MAX(H969,0),'Tax Tables'!$B$23)*'Tax Tables'!$B$24+MIN(MAX(MAX(H969,0)-'Tax Tables'!$B$23,0),'Tax Tables'!$B$25)*'Tax Tables'!$B$26))*Calculator!$B$11,Calculator!$B$12)</f>
        <v>0</v>
      </c>
      <c r="J969" s="11" t="n">
        <f aca="false">MAX(H969,0)-I969</f>
        <v>0</v>
      </c>
      <c r="K969" s="11" t="n">
        <f aca="false">MIN(IF(A969&gt;0,Calculator!$B$13,0)+E969+Calculator!$B$14,'Tax Tables'!$B$36)</f>
        <v>1000</v>
      </c>
      <c r="L969" s="11" t="n">
        <f aca="false">MAX(A969-K969,0)</f>
        <v>477000</v>
      </c>
      <c r="M969" s="11" t="n">
        <f aca="false">SUMPRODUCT((L969&gt;'Tax Tables'!$A$5:$A$17)*(L969-'Tax Tables'!$A$5:$A$17)*'Tax Tables'!$C$5:$C$17)</f>
        <v>79090</v>
      </c>
      <c r="N969" s="11" t="n">
        <f aca="false">IF(H969&lt;0,-1E+099,A969-E969-M969+J969+(E969+F969)*Calculator!$B$9)</f>
        <v>-1E+099</v>
      </c>
      <c r="O969" s="2"/>
      <c r="P969" s="11" t="n">
        <f aca="false">956*$B$3</f>
        <v>478000</v>
      </c>
      <c r="Q969" s="11" t="n">
        <f aca="false">MIN(P969,'Tax Tables'!$B$31*'Tax Tables'!$B$32)</f>
        <v>96000</v>
      </c>
      <c r="R969" s="11" t="n">
        <f aca="false">P969-Q969</f>
        <v>382000</v>
      </c>
      <c r="S969" s="11" t="n">
        <f aca="false">IF(Calculator!$B$6="Yes",MIN(Q969,'Tax Tables'!$B$31*'Tax Tables'!$B$32),0)</f>
        <v>96000</v>
      </c>
      <c r="T969" s="11" t="n">
        <f aca="false">S969*Calculator!$B$7</f>
        <v>19200</v>
      </c>
      <c r="U969" s="11" t="n">
        <f aca="false">S969*Calculator!$B$8</f>
        <v>16320</v>
      </c>
      <c r="V969" s="11" t="n">
        <f aca="false">IF(Q969&gt;0,'Tax Tables'!$B$32*MIN(MAX(Q969/'Tax Tables'!$B$32*'Tax Tables'!$B$33,'Tax Tables'!$B$34),'Tax Tables'!$B$35),0)</f>
        <v>135</v>
      </c>
      <c r="W969" s="11" t="n">
        <f aca="false">Calculator!$B$5-P969-U969-V969</f>
        <v>-94455</v>
      </c>
      <c r="X969" s="11" t="n">
        <f aca="false">'Tax Tables'!$B$22*(MAX(W969,0)-IF(Calculator!$B$10="Yes",MIN(MAX(W969,0),'Tax Tables'!$B$27)*'Tax Tables'!$B$28+MIN(MAX(MAX(W969,0)-'Tax Tables'!$B$27,0),'Tax Tables'!$B$29)*'Tax Tables'!$B$30,MIN(MAX(W969,0),'Tax Tables'!$B$23)*'Tax Tables'!$B$24+MIN(MAX(MAX(W969,0)-'Tax Tables'!$B$23,0),'Tax Tables'!$B$25)*'Tax Tables'!$B$26))*1-MIN('Tax Tables'!$B$22*(MAX(W969,0)-IF(Calculator!$B$10="Yes",MIN(MAX(W969,0),'Tax Tables'!$B$27)*'Tax Tables'!$B$28+MIN(MAX(MAX(W969,0)-'Tax Tables'!$B$27,0),'Tax Tables'!$B$29)*'Tax Tables'!$B$30,MIN(MAX(W969,0),'Tax Tables'!$B$23)*'Tax Tables'!$B$24+MIN(MAX(MAX(W969,0)-'Tax Tables'!$B$23,0),'Tax Tables'!$B$25)*'Tax Tables'!$B$26))*Calculator!$B$11,Calculator!$B$12)</f>
        <v>0</v>
      </c>
      <c r="Y969" s="11" t="n">
        <f aca="false">MAX(W969,0)-X969</f>
        <v>0</v>
      </c>
      <c r="Z969" s="11" t="n">
        <f aca="false">MIN(IF(P969&gt;0,Calculator!$B$13,0)+T969+Calculator!$B$14,'Tax Tables'!$B$36)</f>
        <v>20200</v>
      </c>
      <c r="AA969" s="11" t="n">
        <f aca="false">MAX(P969-Z969,0)</f>
        <v>457800</v>
      </c>
      <c r="AB969" s="11" t="n">
        <f aca="false">SUMPRODUCT((AA969&gt;'Tax Tables'!$A$5:$A$17)*(AA969-'Tax Tables'!$A$5:$A$17)*'Tax Tables'!$C$5:$C$17)</f>
        <v>74866</v>
      </c>
      <c r="AC969" s="11" t="n">
        <f aca="false">IF(W969&lt;0,-1E+099,P969-T969-AB969+Y969+(T969+U969)*Calculator!$B$9)</f>
        <v>-1E+099</v>
      </c>
    </row>
    <row r="970" customFormat="false" ht="15" hidden="false" customHeight="false" outlineLevel="0" collapsed="false">
      <c r="A970" s="11" t="n">
        <f aca="false">957*$B$3</f>
        <v>478500</v>
      </c>
      <c r="B970" s="11" t="n">
        <f aca="false">0</f>
        <v>0</v>
      </c>
      <c r="C970" s="11" t="n">
        <f aca="false">A970-B970</f>
        <v>478500</v>
      </c>
      <c r="D970" s="11" t="n">
        <f aca="false">IF(Calculator!$B$6="Yes",MIN(B970,'Tax Tables'!$B$31*'Tax Tables'!$B$32),0)</f>
        <v>0</v>
      </c>
      <c r="E970" s="11" t="n">
        <f aca="false">D970*Calculator!$B$7</f>
        <v>0</v>
      </c>
      <c r="F970" s="11" t="n">
        <f aca="false">D970*Calculator!$B$8</f>
        <v>0</v>
      </c>
      <c r="G970" s="11" t="n">
        <f aca="false">IF(B970&gt;0,'Tax Tables'!$B$32*MIN(MAX(B970/'Tax Tables'!$B$32*'Tax Tables'!$B$33,'Tax Tables'!$B$34),'Tax Tables'!$B$35),0)</f>
        <v>0</v>
      </c>
      <c r="H970" s="11" t="n">
        <f aca="false">Calculator!$B$5-A970-F970-G970</f>
        <v>-78500</v>
      </c>
      <c r="I970" s="11" t="n">
        <f aca="false">'Tax Tables'!$B$22*(MAX(H970,0)-IF(Calculator!$B$10="Yes",MIN(MAX(H970,0),'Tax Tables'!$B$27)*'Tax Tables'!$B$28+MIN(MAX(MAX(H970,0)-'Tax Tables'!$B$27,0),'Tax Tables'!$B$29)*'Tax Tables'!$B$30,MIN(MAX(H970,0),'Tax Tables'!$B$23)*'Tax Tables'!$B$24+MIN(MAX(MAX(H970,0)-'Tax Tables'!$B$23,0),'Tax Tables'!$B$25)*'Tax Tables'!$B$26))*1-MIN('Tax Tables'!$B$22*(MAX(H970,0)-IF(Calculator!$B$10="Yes",MIN(MAX(H970,0),'Tax Tables'!$B$27)*'Tax Tables'!$B$28+MIN(MAX(MAX(H970,0)-'Tax Tables'!$B$27,0),'Tax Tables'!$B$29)*'Tax Tables'!$B$30,MIN(MAX(H970,0),'Tax Tables'!$B$23)*'Tax Tables'!$B$24+MIN(MAX(MAX(H970,0)-'Tax Tables'!$B$23,0),'Tax Tables'!$B$25)*'Tax Tables'!$B$26))*Calculator!$B$11,Calculator!$B$12)</f>
        <v>0</v>
      </c>
      <c r="J970" s="11" t="n">
        <f aca="false">MAX(H970,0)-I970</f>
        <v>0</v>
      </c>
      <c r="K970" s="11" t="n">
        <f aca="false">MIN(IF(A970&gt;0,Calculator!$B$13,0)+E970+Calculator!$B$14,'Tax Tables'!$B$36)</f>
        <v>1000</v>
      </c>
      <c r="L970" s="11" t="n">
        <f aca="false">MAX(A970-K970,0)</f>
        <v>477500</v>
      </c>
      <c r="M970" s="11" t="n">
        <f aca="false">SUMPRODUCT((L970&gt;'Tax Tables'!$A$5:$A$17)*(L970-'Tax Tables'!$A$5:$A$17)*'Tax Tables'!$C$5:$C$17)</f>
        <v>79200</v>
      </c>
      <c r="N970" s="11" t="n">
        <f aca="false">IF(H970&lt;0,-1E+099,A970-E970-M970+J970+(E970+F970)*Calculator!$B$9)</f>
        <v>-1E+099</v>
      </c>
      <c r="O970" s="2"/>
      <c r="P970" s="11" t="n">
        <f aca="false">957*$B$3</f>
        <v>478500</v>
      </c>
      <c r="Q970" s="11" t="n">
        <f aca="false">MIN(P970,'Tax Tables'!$B$31*'Tax Tables'!$B$32)</f>
        <v>96000</v>
      </c>
      <c r="R970" s="11" t="n">
        <f aca="false">P970-Q970</f>
        <v>382500</v>
      </c>
      <c r="S970" s="11" t="n">
        <f aca="false">IF(Calculator!$B$6="Yes",MIN(Q970,'Tax Tables'!$B$31*'Tax Tables'!$B$32),0)</f>
        <v>96000</v>
      </c>
      <c r="T970" s="11" t="n">
        <f aca="false">S970*Calculator!$B$7</f>
        <v>19200</v>
      </c>
      <c r="U970" s="11" t="n">
        <f aca="false">S970*Calculator!$B$8</f>
        <v>16320</v>
      </c>
      <c r="V970" s="11" t="n">
        <f aca="false">IF(Q970&gt;0,'Tax Tables'!$B$32*MIN(MAX(Q970/'Tax Tables'!$B$32*'Tax Tables'!$B$33,'Tax Tables'!$B$34),'Tax Tables'!$B$35),0)</f>
        <v>135</v>
      </c>
      <c r="W970" s="11" t="n">
        <f aca="false">Calculator!$B$5-P970-U970-V970</f>
        <v>-94955</v>
      </c>
      <c r="X970" s="11" t="n">
        <f aca="false">'Tax Tables'!$B$22*(MAX(W970,0)-IF(Calculator!$B$10="Yes",MIN(MAX(W970,0),'Tax Tables'!$B$27)*'Tax Tables'!$B$28+MIN(MAX(MAX(W970,0)-'Tax Tables'!$B$27,0),'Tax Tables'!$B$29)*'Tax Tables'!$B$30,MIN(MAX(W970,0),'Tax Tables'!$B$23)*'Tax Tables'!$B$24+MIN(MAX(MAX(W970,0)-'Tax Tables'!$B$23,0),'Tax Tables'!$B$25)*'Tax Tables'!$B$26))*1-MIN('Tax Tables'!$B$22*(MAX(W970,0)-IF(Calculator!$B$10="Yes",MIN(MAX(W970,0),'Tax Tables'!$B$27)*'Tax Tables'!$B$28+MIN(MAX(MAX(W970,0)-'Tax Tables'!$B$27,0),'Tax Tables'!$B$29)*'Tax Tables'!$B$30,MIN(MAX(W970,0),'Tax Tables'!$B$23)*'Tax Tables'!$B$24+MIN(MAX(MAX(W970,0)-'Tax Tables'!$B$23,0),'Tax Tables'!$B$25)*'Tax Tables'!$B$26))*Calculator!$B$11,Calculator!$B$12)</f>
        <v>0</v>
      </c>
      <c r="Y970" s="11" t="n">
        <f aca="false">MAX(W970,0)-X970</f>
        <v>0</v>
      </c>
      <c r="Z970" s="11" t="n">
        <f aca="false">MIN(IF(P970&gt;0,Calculator!$B$13,0)+T970+Calculator!$B$14,'Tax Tables'!$B$36)</f>
        <v>20200</v>
      </c>
      <c r="AA970" s="11" t="n">
        <f aca="false">MAX(P970-Z970,0)</f>
        <v>458300</v>
      </c>
      <c r="AB970" s="11" t="n">
        <f aca="false">SUMPRODUCT((AA970&gt;'Tax Tables'!$A$5:$A$17)*(AA970-'Tax Tables'!$A$5:$A$17)*'Tax Tables'!$C$5:$C$17)</f>
        <v>74976</v>
      </c>
      <c r="AC970" s="11" t="n">
        <f aca="false">IF(W970&lt;0,-1E+099,P970-T970-AB970+Y970+(T970+U970)*Calculator!$B$9)</f>
        <v>-1E+099</v>
      </c>
    </row>
    <row r="971" customFormat="false" ht="15" hidden="false" customHeight="false" outlineLevel="0" collapsed="false">
      <c r="A971" s="11" t="n">
        <f aca="false">958*$B$3</f>
        <v>479000</v>
      </c>
      <c r="B971" s="11" t="n">
        <f aca="false">0</f>
        <v>0</v>
      </c>
      <c r="C971" s="11" t="n">
        <f aca="false">A971-B971</f>
        <v>479000</v>
      </c>
      <c r="D971" s="11" t="n">
        <f aca="false">IF(Calculator!$B$6="Yes",MIN(B971,'Tax Tables'!$B$31*'Tax Tables'!$B$32),0)</f>
        <v>0</v>
      </c>
      <c r="E971" s="11" t="n">
        <f aca="false">D971*Calculator!$B$7</f>
        <v>0</v>
      </c>
      <c r="F971" s="11" t="n">
        <f aca="false">D971*Calculator!$B$8</f>
        <v>0</v>
      </c>
      <c r="G971" s="11" t="n">
        <f aca="false">IF(B971&gt;0,'Tax Tables'!$B$32*MIN(MAX(B971/'Tax Tables'!$B$32*'Tax Tables'!$B$33,'Tax Tables'!$B$34),'Tax Tables'!$B$35),0)</f>
        <v>0</v>
      </c>
      <c r="H971" s="11" t="n">
        <f aca="false">Calculator!$B$5-A971-F971-G971</f>
        <v>-79000</v>
      </c>
      <c r="I971" s="11" t="n">
        <f aca="false">'Tax Tables'!$B$22*(MAX(H971,0)-IF(Calculator!$B$10="Yes",MIN(MAX(H971,0),'Tax Tables'!$B$27)*'Tax Tables'!$B$28+MIN(MAX(MAX(H971,0)-'Tax Tables'!$B$27,0),'Tax Tables'!$B$29)*'Tax Tables'!$B$30,MIN(MAX(H971,0),'Tax Tables'!$B$23)*'Tax Tables'!$B$24+MIN(MAX(MAX(H971,0)-'Tax Tables'!$B$23,0),'Tax Tables'!$B$25)*'Tax Tables'!$B$26))*1-MIN('Tax Tables'!$B$22*(MAX(H971,0)-IF(Calculator!$B$10="Yes",MIN(MAX(H971,0),'Tax Tables'!$B$27)*'Tax Tables'!$B$28+MIN(MAX(MAX(H971,0)-'Tax Tables'!$B$27,0),'Tax Tables'!$B$29)*'Tax Tables'!$B$30,MIN(MAX(H971,0),'Tax Tables'!$B$23)*'Tax Tables'!$B$24+MIN(MAX(MAX(H971,0)-'Tax Tables'!$B$23,0),'Tax Tables'!$B$25)*'Tax Tables'!$B$26))*Calculator!$B$11,Calculator!$B$12)</f>
        <v>0</v>
      </c>
      <c r="J971" s="11" t="n">
        <f aca="false">MAX(H971,0)-I971</f>
        <v>0</v>
      </c>
      <c r="K971" s="11" t="n">
        <f aca="false">MIN(IF(A971&gt;0,Calculator!$B$13,0)+E971+Calculator!$B$14,'Tax Tables'!$B$36)</f>
        <v>1000</v>
      </c>
      <c r="L971" s="11" t="n">
        <f aca="false">MAX(A971-K971,0)</f>
        <v>478000</v>
      </c>
      <c r="M971" s="11" t="n">
        <f aca="false">SUMPRODUCT((L971&gt;'Tax Tables'!$A$5:$A$17)*(L971-'Tax Tables'!$A$5:$A$17)*'Tax Tables'!$C$5:$C$17)</f>
        <v>79310</v>
      </c>
      <c r="N971" s="11" t="n">
        <f aca="false">IF(H971&lt;0,-1E+099,A971-E971-M971+J971+(E971+F971)*Calculator!$B$9)</f>
        <v>-1E+099</v>
      </c>
      <c r="O971" s="2"/>
      <c r="P971" s="11" t="n">
        <f aca="false">958*$B$3</f>
        <v>479000</v>
      </c>
      <c r="Q971" s="11" t="n">
        <f aca="false">MIN(P971,'Tax Tables'!$B$31*'Tax Tables'!$B$32)</f>
        <v>96000</v>
      </c>
      <c r="R971" s="11" t="n">
        <f aca="false">P971-Q971</f>
        <v>383000</v>
      </c>
      <c r="S971" s="11" t="n">
        <f aca="false">IF(Calculator!$B$6="Yes",MIN(Q971,'Tax Tables'!$B$31*'Tax Tables'!$B$32),0)</f>
        <v>96000</v>
      </c>
      <c r="T971" s="11" t="n">
        <f aca="false">S971*Calculator!$B$7</f>
        <v>19200</v>
      </c>
      <c r="U971" s="11" t="n">
        <f aca="false">S971*Calculator!$B$8</f>
        <v>16320</v>
      </c>
      <c r="V971" s="11" t="n">
        <f aca="false">IF(Q971&gt;0,'Tax Tables'!$B$32*MIN(MAX(Q971/'Tax Tables'!$B$32*'Tax Tables'!$B$33,'Tax Tables'!$B$34),'Tax Tables'!$B$35),0)</f>
        <v>135</v>
      </c>
      <c r="W971" s="11" t="n">
        <f aca="false">Calculator!$B$5-P971-U971-V971</f>
        <v>-95455</v>
      </c>
      <c r="X971" s="11" t="n">
        <f aca="false">'Tax Tables'!$B$22*(MAX(W971,0)-IF(Calculator!$B$10="Yes",MIN(MAX(W971,0),'Tax Tables'!$B$27)*'Tax Tables'!$B$28+MIN(MAX(MAX(W971,0)-'Tax Tables'!$B$27,0),'Tax Tables'!$B$29)*'Tax Tables'!$B$30,MIN(MAX(W971,0),'Tax Tables'!$B$23)*'Tax Tables'!$B$24+MIN(MAX(MAX(W971,0)-'Tax Tables'!$B$23,0),'Tax Tables'!$B$25)*'Tax Tables'!$B$26))*1-MIN('Tax Tables'!$B$22*(MAX(W971,0)-IF(Calculator!$B$10="Yes",MIN(MAX(W971,0),'Tax Tables'!$B$27)*'Tax Tables'!$B$28+MIN(MAX(MAX(W971,0)-'Tax Tables'!$B$27,0),'Tax Tables'!$B$29)*'Tax Tables'!$B$30,MIN(MAX(W971,0),'Tax Tables'!$B$23)*'Tax Tables'!$B$24+MIN(MAX(MAX(W971,0)-'Tax Tables'!$B$23,0),'Tax Tables'!$B$25)*'Tax Tables'!$B$26))*Calculator!$B$11,Calculator!$B$12)</f>
        <v>0</v>
      </c>
      <c r="Y971" s="11" t="n">
        <f aca="false">MAX(W971,0)-X971</f>
        <v>0</v>
      </c>
      <c r="Z971" s="11" t="n">
        <f aca="false">MIN(IF(P971&gt;0,Calculator!$B$13,0)+T971+Calculator!$B$14,'Tax Tables'!$B$36)</f>
        <v>20200</v>
      </c>
      <c r="AA971" s="11" t="n">
        <f aca="false">MAX(P971-Z971,0)</f>
        <v>458800</v>
      </c>
      <c r="AB971" s="11" t="n">
        <f aca="false">SUMPRODUCT((AA971&gt;'Tax Tables'!$A$5:$A$17)*(AA971-'Tax Tables'!$A$5:$A$17)*'Tax Tables'!$C$5:$C$17)</f>
        <v>75086</v>
      </c>
      <c r="AC971" s="11" t="n">
        <f aca="false">IF(W971&lt;0,-1E+099,P971-T971-AB971+Y971+(T971+U971)*Calculator!$B$9)</f>
        <v>-1E+099</v>
      </c>
    </row>
    <row r="972" customFormat="false" ht="15" hidden="false" customHeight="false" outlineLevel="0" collapsed="false">
      <c r="A972" s="11" t="n">
        <f aca="false">959*$B$3</f>
        <v>479500</v>
      </c>
      <c r="B972" s="11" t="n">
        <f aca="false">0</f>
        <v>0</v>
      </c>
      <c r="C972" s="11" t="n">
        <f aca="false">A972-B972</f>
        <v>479500</v>
      </c>
      <c r="D972" s="11" t="n">
        <f aca="false">IF(Calculator!$B$6="Yes",MIN(B972,'Tax Tables'!$B$31*'Tax Tables'!$B$32),0)</f>
        <v>0</v>
      </c>
      <c r="E972" s="11" t="n">
        <f aca="false">D972*Calculator!$B$7</f>
        <v>0</v>
      </c>
      <c r="F972" s="11" t="n">
        <f aca="false">D972*Calculator!$B$8</f>
        <v>0</v>
      </c>
      <c r="G972" s="11" t="n">
        <f aca="false">IF(B972&gt;0,'Tax Tables'!$B$32*MIN(MAX(B972/'Tax Tables'!$B$32*'Tax Tables'!$B$33,'Tax Tables'!$B$34),'Tax Tables'!$B$35),0)</f>
        <v>0</v>
      </c>
      <c r="H972" s="11" t="n">
        <f aca="false">Calculator!$B$5-A972-F972-G972</f>
        <v>-79500</v>
      </c>
      <c r="I972" s="11" t="n">
        <f aca="false">'Tax Tables'!$B$22*(MAX(H972,0)-IF(Calculator!$B$10="Yes",MIN(MAX(H972,0),'Tax Tables'!$B$27)*'Tax Tables'!$B$28+MIN(MAX(MAX(H972,0)-'Tax Tables'!$B$27,0),'Tax Tables'!$B$29)*'Tax Tables'!$B$30,MIN(MAX(H972,0),'Tax Tables'!$B$23)*'Tax Tables'!$B$24+MIN(MAX(MAX(H972,0)-'Tax Tables'!$B$23,0),'Tax Tables'!$B$25)*'Tax Tables'!$B$26))*1-MIN('Tax Tables'!$B$22*(MAX(H972,0)-IF(Calculator!$B$10="Yes",MIN(MAX(H972,0),'Tax Tables'!$B$27)*'Tax Tables'!$B$28+MIN(MAX(MAX(H972,0)-'Tax Tables'!$B$27,0),'Tax Tables'!$B$29)*'Tax Tables'!$B$30,MIN(MAX(H972,0),'Tax Tables'!$B$23)*'Tax Tables'!$B$24+MIN(MAX(MAX(H972,0)-'Tax Tables'!$B$23,0),'Tax Tables'!$B$25)*'Tax Tables'!$B$26))*Calculator!$B$11,Calculator!$B$12)</f>
        <v>0</v>
      </c>
      <c r="J972" s="11" t="n">
        <f aca="false">MAX(H972,0)-I972</f>
        <v>0</v>
      </c>
      <c r="K972" s="11" t="n">
        <f aca="false">MIN(IF(A972&gt;0,Calculator!$B$13,0)+E972+Calculator!$B$14,'Tax Tables'!$B$36)</f>
        <v>1000</v>
      </c>
      <c r="L972" s="11" t="n">
        <f aca="false">MAX(A972-K972,0)</f>
        <v>478500</v>
      </c>
      <c r="M972" s="11" t="n">
        <f aca="false">SUMPRODUCT((L972&gt;'Tax Tables'!$A$5:$A$17)*(L972-'Tax Tables'!$A$5:$A$17)*'Tax Tables'!$C$5:$C$17)</f>
        <v>79420</v>
      </c>
      <c r="N972" s="11" t="n">
        <f aca="false">IF(H972&lt;0,-1E+099,A972-E972-M972+J972+(E972+F972)*Calculator!$B$9)</f>
        <v>-1E+099</v>
      </c>
      <c r="O972" s="2"/>
      <c r="P972" s="11" t="n">
        <f aca="false">959*$B$3</f>
        <v>479500</v>
      </c>
      <c r="Q972" s="11" t="n">
        <f aca="false">MIN(P972,'Tax Tables'!$B$31*'Tax Tables'!$B$32)</f>
        <v>96000</v>
      </c>
      <c r="R972" s="11" t="n">
        <f aca="false">P972-Q972</f>
        <v>383500</v>
      </c>
      <c r="S972" s="11" t="n">
        <f aca="false">IF(Calculator!$B$6="Yes",MIN(Q972,'Tax Tables'!$B$31*'Tax Tables'!$B$32),0)</f>
        <v>96000</v>
      </c>
      <c r="T972" s="11" t="n">
        <f aca="false">S972*Calculator!$B$7</f>
        <v>19200</v>
      </c>
      <c r="U972" s="11" t="n">
        <f aca="false">S972*Calculator!$B$8</f>
        <v>16320</v>
      </c>
      <c r="V972" s="11" t="n">
        <f aca="false">IF(Q972&gt;0,'Tax Tables'!$B$32*MIN(MAX(Q972/'Tax Tables'!$B$32*'Tax Tables'!$B$33,'Tax Tables'!$B$34),'Tax Tables'!$B$35),0)</f>
        <v>135</v>
      </c>
      <c r="W972" s="11" t="n">
        <f aca="false">Calculator!$B$5-P972-U972-V972</f>
        <v>-95955</v>
      </c>
      <c r="X972" s="11" t="n">
        <f aca="false">'Tax Tables'!$B$22*(MAX(W972,0)-IF(Calculator!$B$10="Yes",MIN(MAX(W972,0),'Tax Tables'!$B$27)*'Tax Tables'!$B$28+MIN(MAX(MAX(W972,0)-'Tax Tables'!$B$27,0),'Tax Tables'!$B$29)*'Tax Tables'!$B$30,MIN(MAX(W972,0),'Tax Tables'!$B$23)*'Tax Tables'!$B$24+MIN(MAX(MAX(W972,0)-'Tax Tables'!$B$23,0),'Tax Tables'!$B$25)*'Tax Tables'!$B$26))*1-MIN('Tax Tables'!$B$22*(MAX(W972,0)-IF(Calculator!$B$10="Yes",MIN(MAX(W972,0),'Tax Tables'!$B$27)*'Tax Tables'!$B$28+MIN(MAX(MAX(W972,0)-'Tax Tables'!$B$27,0),'Tax Tables'!$B$29)*'Tax Tables'!$B$30,MIN(MAX(W972,0),'Tax Tables'!$B$23)*'Tax Tables'!$B$24+MIN(MAX(MAX(W972,0)-'Tax Tables'!$B$23,0),'Tax Tables'!$B$25)*'Tax Tables'!$B$26))*Calculator!$B$11,Calculator!$B$12)</f>
        <v>0</v>
      </c>
      <c r="Y972" s="11" t="n">
        <f aca="false">MAX(W972,0)-X972</f>
        <v>0</v>
      </c>
      <c r="Z972" s="11" t="n">
        <f aca="false">MIN(IF(P972&gt;0,Calculator!$B$13,0)+T972+Calculator!$B$14,'Tax Tables'!$B$36)</f>
        <v>20200</v>
      </c>
      <c r="AA972" s="11" t="n">
        <f aca="false">MAX(P972-Z972,0)</f>
        <v>459300</v>
      </c>
      <c r="AB972" s="11" t="n">
        <f aca="false">SUMPRODUCT((AA972&gt;'Tax Tables'!$A$5:$A$17)*(AA972-'Tax Tables'!$A$5:$A$17)*'Tax Tables'!$C$5:$C$17)</f>
        <v>75196</v>
      </c>
      <c r="AC972" s="11" t="n">
        <f aca="false">IF(W972&lt;0,-1E+099,P972-T972-AB972+Y972+(T972+U972)*Calculator!$B$9)</f>
        <v>-1E+099</v>
      </c>
    </row>
    <row r="973" customFormat="false" ht="15" hidden="false" customHeight="false" outlineLevel="0" collapsed="false">
      <c r="A973" s="11" t="n">
        <f aca="false">960*$B$3</f>
        <v>480000</v>
      </c>
      <c r="B973" s="11" t="n">
        <f aca="false">0</f>
        <v>0</v>
      </c>
      <c r="C973" s="11" t="n">
        <f aca="false">A973-B973</f>
        <v>480000</v>
      </c>
      <c r="D973" s="11" t="n">
        <f aca="false">IF(Calculator!$B$6="Yes",MIN(B973,'Tax Tables'!$B$31*'Tax Tables'!$B$32),0)</f>
        <v>0</v>
      </c>
      <c r="E973" s="11" t="n">
        <f aca="false">D973*Calculator!$B$7</f>
        <v>0</v>
      </c>
      <c r="F973" s="11" t="n">
        <f aca="false">D973*Calculator!$B$8</f>
        <v>0</v>
      </c>
      <c r="G973" s="11" t="n">
        <f aca="false">IF(B973&gt;0,'Tax Tables'!$B$32*MIN(MAX(B973/'Tax Tables'!$B$32*'Tax Tables'!$B$33,'Tax Tables'!$B$34),'Tax Tables'!$B$35),0)</f>
        <v>0</v>
      </c>
      <c r="H973" s="11" t="n">
        <f aca="false">Calculator!$B$5-A973-F973-G973</f>
        <v>-80000</v>
      </c>
      <c r="I973" s="11" t="n">
        <f aca="false">'Tax Tables'!$B$22*(MAX(H973,0)-IF(Calculator!$B$10="Yes",MIN(MAX(H973,0),'Tax Tables'!$B$27)*'Tax Tables'!$B$28+MIN(MAX(MAX(H973,0)-'Tax Tables'!$B$27,0),'Tax Tables'!$B$29)*'Tax Tables'!$B$30,MIN(MAX(H973,0),'Tax Tables'!$B$23)*'Tax Tables'!$B$24+MIN(MAX(MAX(H973,0)-'Tax Tables'!$B$23,0),'Tax Tables'!$B$25)*'Tax Tables'!$B$26))*1-MIN('Tax Tables'!$B$22*(MAX(H973,0)-IF(Calculator!$B$10="Yes",MIN(MAX(H973,0),'Tax Tables'!$B$27)*'Tax Tables'!$B$28+MIN(MAX(MAX(H973,0)-'Tax Tables'!$B$27,0),'Tax Tables'!$B$29)*'Tax Tables'!$B$30,MIN(MAX(H973,0),'Tax Tables'!$B$23)*'Tax Tables'!$B$24+MIN(MAX(MAX(H973,0)-'Tax Tables'!$B$23,0),'Tax Tables'!$B$25)*'Tax Tables'!$B$26))*Calculator!$B$11,Calculator!$B$12)</f>
        <v>0</v>
      </c>
      <c r="J973" s="11" t="n">
        <f aca="false">MAX(H973,0)-I973</f>
        <v>0</v>
      </c>
      <c r="K973" s="11" t="n">
        <f aca="false">MIN(IF(A973&gt;0,Calculator!$B$13,0)+E973+Calculator!$B$14,'Tax Tables'!$B$36)</f>
        <v>1000</v>
      </c>
      <c r="L973" s="11" t="n">
        <f aca="false">MAX(A973-K973,0)</f>
        <v>479000</v>
      </c>
      <c r="M973" s="11" t="n">
        <f aca="false">SUMPRODUCT((L973&gt;'Tax Tables'!$A$5:$A$17)*(L973-'Tax Tables'!$A$5:$A$17)*'Tax Tables'!$C$5:$C$17)</f>
        <v>79530</v>
      </c>
      <c r="N973" s="11" t="n">
        <f aca="false">IF(H973&lt;0,-1E+099,A973-E973-M973+J973+(E973+F973)*Calculator!$B$9)</f>
        <v>-1E+099</v>
      </c>
      <c r="O973" s="2"/>
      <c r="P973" s="11" t="n">
        <f aca="false">960*$B$3</f>
        <v>480000</v>
      </c>
      <c r="Q973" s="11" t="n">
        <f aca="false">MIN(P973,'Tax Tables'!$B$31*'Tax Tables'!$B$32)</f>
        <v>96000</v>
      </c>
      <c r="R973" s="11" t="n">
        <f aca="false">P973-Q973</f>
        <v>384000</v>
      </c>
      <c r="S973" s="11" t="n">
        <f aca="false">IF(Calculator!$B$6="Yes",MIN(Q973,'Tax Tables'!$B$31*'Tax Tables'!$B$32),0)</f>
        <v>96000</v>
      </c>
      <c r="T973" s="11" t="n">
        <f aca="false">S973*Calculator!$B$7</f>
        <v>19200</v>
      </c>
      <c r="U973" s="11" t="n">
        <f aca="false">S973*Calculator!$B$8</f>
        <v>16320</v>
      </c>
      <c r="V973" s="11" t="n">
        <f aca="false">IF(Q973&gt;0,'Tax Tables'!$B$32*MIN(MAX(Q973/'Tax Tables'!$B$32*'Tax Tables'!$B$33,'Tax Tables'!$B$34),'Tax Tables'!$B$35),0)</f>
        <v>135</v>
      </c>
      <c r="W973" s="11" t="n">
        <f aca="false">Calculator!$B$5-P973-U973-V973</f>
        <v>-96455</v>
      </c>
      <c r="X973" s="11" t="n">
        <f aca="false">'Tax Tables'!$B$22*(MAX(W973,0)-IF(Calculator!$B$10="Yes",MIN(MAX(W973,0),'Tax Tables'!$B$27)*'Tax Tables'!$B$28+MIN(MAX(MAX(W973,0)-'Tax Tables'!$B$27,0),'Tax Tables'!$B$29)*'Tax Tables'!$B$30,MIN(MAX(W973,0),'Tax Tables'!$B$23)*'Tax Tables'!$B$24+MIN(MAX(MAX(W973,0)-'Tax Tables'!$B$23,0),'Tax Tables'!$B$25)*'Tax Tables'!$B$26))*1-MIN('Tax Tables'!$B$22*(MAX(W973,0)-IF(Calculator!$B$10="Yes",MIN(MAX(W973,0),'Tax Tables'!$B$27)*'Tax Tables'!$B$28+MIN(MAX(MAX(W973,0)-'Tax Tables'!$B$27,0),'Tax Tables'!$B$29)*'Tax Tables'!$B$30,MIN(MAX(W973,0),'Tax Tables'!$B$23)*'Tax Tables'!$B$24+MIN(MAX(MAX(W973,0)-'Tax Tables'!$B$23,0),'Tax Tables'!$B$25)*'Tax Tables'!$B$26))*Calculator!$B$11,Calculator!$B$12)</f>
        <v>0</v>
      </c>
      <c r="Y973" s="11" t="n">
        <f aca="false">MAX(W973,0)-X973</f>
        <v>0</v>
      </c>
      <c r="Z973" s="11" t="n">
        <f aca="false">MIN(IF(P973&gt;0,Calculator!$B$13,0)+T973+Calculator!$B$14,'Tax Tables'!$B$36)</f>
        <v>20200</v>
      </c>
      <c r="AA973" s="11" t="n">
        <f aca="false">MAX(P973-Z973,0)</f>
        <v>459800</v>
      </c>
      <c r="AB973" s="11" t="n">
        <f aca="false">SUMPRODUCT((AA973&gt;'Tax Tables'!$A$5:$A$17)*(AA973-'Tax Tables'!$A$5:$A$17)*'Tax Tables'!$C$5:$C$17)</f>
        <v>75306</v>
      </c>
      <c r="AC973" s="11" t="n">
        <f aca="false">IF(W973&lt;0,-1E+099,P973-T973-AB973+Y973+(T973+U973)*Calculator!$B$9)</f>
        <v>-1E+099</v>
      </c>
    </row>
    <row r="974" customFormat="false" ht="15" hidden="false" customHeight="false" outlineLevel="0" collapsed="false">
      <c r="A974" s="11" t="n">
        <f aca="false">961*$B$3</f>
        <v>480500</v>
      </c>
      <c r="B974" s="11" t="n">
        <f aca="false">0</f>
        <v>0</v>
      </c>
      <c r="C974" s="11" t="n">
        <f aca="false">A974-B974</f>
        <v>480500</v>
      </c>
      <c r="D974" s="11" t="n">
        <f aca="false">IF(Calculator!$B$6="Yes",MIN(B974,'Tax Tables'!$B$31*'Tax Tables'!$B$32),0)</f>
        <v>0</v>
      </c>
      <c r="E974" s="11" t="n">
        <f aca="false">D974*Calculator!$B$7</f>
        <v>0</v>
      </c>
      <c r="F974" s="11" t="n">
        <f aca="false">D974*Calculator!$B$8</f>
        <v>0</v>
      </c>
      <c r="G974" s="11" t="n">
        <f aca="false">IF(B974&gt;0,'Tax Tables'!$B$32*MIN(MAX(B974/'Tax Tables'!$B$32*'Tax Tables'!$B$33,'Tax Tables'!$B$34),'Tax Tables'!$B$35),0)</f>
        <v>0</v>
      </c>
      <c r="H974" s="11" t="n">
        <f aca="false">Calculator!$B$5-A974-F974-G974</f>
        <v>-80500</v>
      </c>
      <c r="I974" s="11" t="n">
        <f aca="false">'Tax Tables'!$B$22*(MAX(H974,0)-IF(Calculator!$B$10="Yes",MIN(MAX(H974,0),'Tax Tables'!$B$27)*'Tax Tables'!$B$28+MIN(MAX(MAX(H974,0)-'Tax Tables'!$B$27,0),'Tax Tables'!$B$29)*'Tax Tables'!$B$30,MIN(MAX(H974,0),'Tax Tables'!$B$23)*'Tax Tables'!$B$24+MIN(MAX(MAX(H974,0)-'Tax Tables'!$B$23,0),'Tax Tables'!$B$25)*'Tax Tables'!$B$26))*1-MIN('Tax Tables'!$B$22*(MAX(H974,0)-IF(Calculator!$B$10="Yes",MIN(MAX(H974,0),'Tax Tables'!$B$27)*'Tax Tables'!$B$28+MIN(MAX(MAX(H974,0)-'Tax Tables'!$B$27,0),'Tax Tables'!$B$29)*'Tax Tables'!$B$30,MIN(MAX(H974,0),'Tax Tables'!$B$23)*'Tax Tables'!$B$24+MIN(MAX(MAX(H974,0)-'Tax Tables'!$B$23,0),'Tax Tables'!$B$25)*'Tax Tables'!$B$26))*Calculator!$B$11,Calculator!$B$12)</f>
        <v>0</v>
      </c>
      <c r="J974" s="11" t="n">
        <f aca="false">MAX(H974,0)-I974</f>
        <v>0</v>
      </c>
      <c r="K974" s="11" t="n">
        <f aca="false">MIN(IF(A974&gt;0,Calculator!$B$13,0)+E974+Calculator!$B$14,'Tax Tables'!$B$36)</f>
        <v>1000</v>
      </c>
      <c r="L974" s="11" t="n">
        <f aca="false">MAX(A974-K974,0)</f>
        <v>479500</v>
      </c>
      <c r="M974" s="11" t="n">
        <f aca="false">SUMPRODUCT((L974&gt;'Tax Tables'!$A$5:$A$17)*(L974-'Tax Tables'!$A$5:$A$17)*'Tax Tables'!$C$5:$C$17)</f>
        <v>79640</v>
      </c>
      <c r="N974" s="11" t="n">
        <f aca="false">IF(H974&lt;0,-1E+099,A974-E974-M974+J974+(E974+F974)*Calculator!$B$9)</f>
        <v>-1E+099</v>
      </c>
      <c r="O974" s="2"/>
      <c r="P974" s="11" t="n">
        <f aca="false">961*$B$3</f>
        <v>480500</v>
      </c>
      <c r="Q974" s="11" t="n">
        <f aca="false">MIN(P974,'Tax Tables'!$B$31*'Tax Tables'!$B$32)</f>
        <v>96000</v>
      </c>
      <c r="R974" s="11" t="n">
        <f aca="false">P974-Q974</f>
        <v>384500</v>
      </c>
      <c r="S974" s="11" t="n">
        <f aca="false">IF(Calculator!$B$6="Yes",MIN(Q974,'Tax Tables'!$B$31*'Tax Tables'!$B$32),0)</f>
        <v>96000</v>
      </c>
      <c r="T974" s="11" t="n">
        <f aca="false">S974*Calculator!$B$7</f>
        <v>19200</v>
      </c>
      <c r="U974" s="11" t="n">
        <f aca="false">S974*Calculator!$B$8</f>
        <v>16320</v>
      </c>
      <c r="V974" s="11" t="n">
        <f aca="false">IF(Q974&gt;0,'Tax Tables'!$B$32*MIN(MAX(Q974/'Tax Tables'!$B$32*'Tax Tables'!$B$33,'Tax Tables'!$B$34),'Tax Tables'!$B$35),0)</f>
        <v>135</v>
      </c>
      <c r="W974" s="11" t="n">
        <f aca="false">Calculator!$B$5-P974-U974-V974</f>
        <v>-96955</v>
      </c>
      <c r="X974" s="11" t="n">
        <f aca="false">'Tax Tables'!$B$22*(MAX(W974,0)-IF(Calculator!$B$10="Yes",MIN(MAX(W974,0),'Tax Tables'!$B$27)*'Tax Tables'!$B$28+MIN(MAX(MAX(W974,0)-'Tax Tables'!$B$27,0),'Tax Tables'!$B$29)*'Tax Tables'!$B$30,MIN(MAX(W974,0),'Tax Tables'!$B$23)*'Tax Tables'!$B$24+MIN(MAX(MAX(W974,0)-'Tax Tables'!$B$23,0),'Tax Tables'!$B$25)*'Tax Tables'!$B$26))*1-MIN('Tax Tables'!$B$22*(MAX(W974,0)-IF(Calculator!$B$10="Yes",MIN(MAX(W974,0),'Tax Tables'!$B$27)*'Tax Tables'!$B$28+MIN(MAX(MAX(W974,0)-'Tax Tables'!$B$27,0),'Tax Tables'!$B$29)*'Tax Tables'!$B$30,MIN(MAX(W974,0),'Tax Tables'!$B$23)*'Tax Tables'!$B$24+MIN(MAX(MAX(W974,0)-'Tax Tables'!$B$23,0),'Tax Tables'!$B$25)*'Tax Tables'!$B$26))*Calculator!$B$11,Calculator!$B$12)</f>
        <v>0</v>
      </c>
      <c r="Y974" s="11" t="n">
        <f aca="false">MAX(W974,0)-X974</f>
        <v>0</v>
      </c>
      <c r="Z974" s="11" t="n">
        <f aca="false">MIN(IF(P974&gt;0,Calculator!$B$13,0)+T974+Calculator!$B$14,'Tax Tables'!$B$36)</f>
        <v>20200</v>
      </c>
      <c r="AA974" s="11" t="n">
        <f aca="false">MAX(P974-Z974,0)</f>
        <v>460300</v>
      </c>
      <c r="AB974" s="11" t="n">
        <f aca="false">SUMPRODUCT((AA974&gt;'Tax Tables'!$A$5:$A$17)*(AA974-'Tax Tables'!$A$5:$A$17)*'Tax Tables'!$C$5:$C$17)</f>
        <v>75416</v>
      </c>
      <c r="AC974" s="11" t="n">
        <f aca="false">IF(W974&lt;0,-1E+099,P974-T974-AB974+Y974+(T974+U974)*Calculator!$B$9)</f>
        <v>-1E+099</v>
      </c>
    </row>
    <row r="975" customFormat="false" ht="15" hidden="false" customHeight="false" outlineLevel="0" collapsed="false">
      <c r="A975" s="11" t="n">
        <f aca="false">962*$B$3</f>
        <v>481000</v>
      </c>
      <c r="B975" s="11" t="n">
        <f aca="false">0</f>
        <v>0</v>
      </c>
      <c r="C975" s="11" t="n">
        <f aca="false">A975-B975</f>
        <v>481000</v>
      </c>
      <c r="D975" s="11" t="n">
        <f aca="false">IF(Calculator!$B$6="Yes",MIN(B975,'Tax Tables'!$B$31*'Tax Tables'!$B$32),0)</f>
        <v>0</v>
      </c>
      <c r="E975" s="11" t="n">
        <f aca="false">D975*Calculator!$B$7</f>
        <v>0</v>
      </c>
      <c r="F975" s="11" t="n">
        <f aca="false">D975*Calculator!$B$8</f>
        <v>0</v>
      </c>
      <c r="G975" s="11" t="n">
        <f aca="false">IF(B975&gt;0,'Tax Tables'!$B$32*MIN(MAX(B975/'Tax Tables'!$B$32*'Tax Tables'!$B$33,'Tax Tables'!$B$34),'Tax Tables'!$B$35),0)</f>
        <v>0</v>
      </c>
      <c r="H975" s="11" t="n">
        <f aca="false">Calculator!$B$5-A975-F975-G975</f>
        <v>-81000</v>
      </c>
      <c r="I975" s="11" t="n">
        <f aca="false">'Tax Tables'!$B$22*(MAX(H975,0)-IF(Calculator!$B$10="Yes",MIN(MAX(H975,0),'Tax Tables'!$B$27)*'Tax Tables'!$B$28+MIN(MAX(MAX(H975,0)-'Tax Tables'!$B$27,0),'Tax Tables'!$B$29)*'Tax Tables'!$B$30,MIN(MAX(H975,0),'Tax Tables'!$B$23)*'Tax Tables'!$B$24+MIN(MAX(MAX(H975,0)-'Tax Tables'!$B$23,0),'Tax Tables'!$B$25)*'Tax Tables'!$B$26))*1-MIN('Tax Tables'!$B$22*(MAX(H975,0)-IF(Calculator!$B$10="Yes",MIN(MAX(H975,0),'Tax Tables'!$B$27)*'Tax Tables'!$B$28+MIN(MAX(MAX(H975,0)-'Tax Tables'!$B$27,0),'Tax Tables'!$B$29)*'Tax Tables'!$B$30,MIN(MAX(H975,0),'Tax Tables'!$B$23)*'Tax Tables'!$B$24+MIN(MAX(MAX(H975,0)-'Tax Tables'!$B$23,0),'Tax Tables'!$B$25)*'Tax Tables'!$B$26))*Calculator!$B$11,Calculator!$B$12)</f>
        <v>0</v>
      </c>
      <c r="J975" s="11" t="n">
        <f aca="false">MAX(H975,0)-I975</f>
        <v>0</v>
      </c>
      <c r="K975" s="11" t="n">
        <f aca="false">MIN(IF(A975&gt;0,Calculator!$B$13,0)+E975+Calculator!$B$14,'Tax Tables'!$B$36)</f>
        <v>1000</v>
      </c>
      <c r="L975" s="11" t="n">
        <f aca="false">MAX(A975-K975,0)</f>
        <v>480000</v>
      </c>
      <c r="M975" s="11" t="n">
        <f aca="false">SUMPRODUCT((L975&gt;'Tax Tables'!$A$5:$A$17)*(L975-'Tax Tables'!$A$5:$A$17)*'Tax Tables'!$C$5:$C$17)</f>
        <v>79750</v>
      </c>
      <c r="N975" s="11" t="n">
        <f aca="false">IF(H975&lt;0,-1E+099,A975-E975-M975+J975+(E975+F975)*Calculator!$B$9)</f>
        <v>-1E+099</v>
      </c>
      <c r="O975" s="2"/>
      <c r="P975" s="11" t="n">
        <f aca="false">962*$B$3</f>
        <v>481000</v>
      </c>
      <c r="Q975" s="11" t="n">
        <f aca="false">MIN(P975,'Tax Tables'!$B$31*'Tax Tables'!$B$32)</f>
        <v>96000</v>
      </c>
      <c r="R975" s="11" t="n">
        <f aca="false">P975-Q975</f>
        <v>385000</v>
      </c>
      <c r="S975" s="11" t="n">
        <f aca="false">IF(Calculator!$B$6="Yes",MIN(Q975,'Tax Tables'!$B$31*'Tax Tables'!$B$32),0)</f>
        <v>96000</v>
      </c>
      <c r="T975" s="11" t="n">
        <f aca="false">S975*Calculator!$B$7</f>
        <v>19200</v>
      </c>
      <c r="U975" s="11" t="n">
        <f aca="false">S975*Calculator!$B$8</f>
        <v>16320</v>
      </c>
      <c r="V975" s="11" t="n">
        <f aca="false">IF(Q975&gt;0,'Tax Tables'!$B$32*MIN(MAX(Q975/'Tax Tables'!$B$32*'Tax Tables'!$B$33,'Tax Tables'!$B$34),'Tax Tables'!$B$35),0)</f>
        <v>135</v>
      </c>
      <c r="W975" s="11" t="n">
        <f aca="false">Calculator!$B$5-P975-U975-V975</f>
        <v>-97455</v>
      </c>
      <c r="X975" s="11" t="n">
        <f aca="false">'Tax Tables'!$B$22*(MAX(W975,0)-IF(Calculator!$B$10="Yes",MIN(MAX(W975,0),'Tax Tables'!$B$27)*'Tax Tables'!$B$28+MIN(MAX(MAX(W975,0)-'Tax Tables'!$B$27,0),'Tax Tables'!$B$29)*'Tax Tables'!$B$30,MIN(MAX(W975,0),'Tax Tables'!$B$23)*'Tax Tables'!$B$24+MIN(MAX(MAX(W975,0)-'Tax Tables'!$B$23,0),'Tax Tables'!$B$25)*'Tax Tables'!$B$26))*1-MIN('Tax Tables'!$B$22*(MAX(W975,0)-IF(Calculator!$B$10="Yes",MIN(MAX(W975,0),'Tax Tables'!$B$27)*'Tax Tables'!$B$28+MIN(MAX(MAX(W975,0)-'Tax Tables'!$B$27,0),'Tax Tables'!$B$29)*'Tax Tables'!$B$30,MIN(MAX(W975,0),'Tax Tables'!$B$23)*'Tax Tables'!$B$24+MIN(MAX(MAX(W975,0)-'Tax Tables'!$B$23,0),'Tax Tables'!$B$25)*'Tax Tables'!$B$26))*Calculator!$B$11,Calculator!$B$12)</f>
        <v>0</v>
      </c>
      <c r="Y975" s="11" t="n">
        <f aca="false">MAX(W975,0)-X975</f>
        <v>0</v>
      </c>
      <c r="Z975" s="11" t="n">
        <f aca="false">MIN(IF(P975&gt;0,Calculator!$B$13,0)+T975+Calculator!$B$14,'Tax Tables'!$B$36)</f>
        <v>20200</v>
      </c>
      <c r="AA975" s="11" t="n">
        <f aca="false">MAX(P975-Z975,0)</f>
        <v>460800</v>
      </c>
      <c r="AB975" s="11" t="n">
        <f aca="false">SUMPRODUCT((AA975&gt;'Tax Tables'!$A$5:$A$17)*(AA975-'Tax Tables'!$A$5:$A$17)*'Tax Tables'!$C$5:$C$17)</f>
        <v>75526</v>
      </c>
      <c r="AC975" s="11" t="n">
        <f aca="false">IF(W975&lt;0,-1E+099,P975-T975-AB975+Y975+(T975+U975)*Calculator!$B$9)</f>
        <v>-1E+099</v>
      </c>
    </row>
    <row r="976" customFormat="false" ht="15" hidden="false" customHeight="false" outlineLevel="0" collapsed="false">
      <c r="A976" s="11" t="n">
        <f aca="false">963*$B$3</f>
        <v>481500</v>
      </c>
      <c r="B976" s="11" t="n">
        <f aca="false">0</f>
        <v>0</v>
      </c>
      <c r="C976" s="11" t="n">
        <f aca="false">A976-B976</f>
        <v>481500</v>
      </c>
      <c r="D976" s="11" t="n">
        <f aca="false">IF(Calculator!$B$6="Yes",MIN(B976,'Tax Tables'!$B$31*'Tax Tables'!$B$32),0)</f>
        <v>0</v>
      </c>
      <c r="E976" s="11" t="n">
        <f aca="false">D976*Calculator!$B$7</f>
        <v>0</v>
      </c>
      <c r="F976" s="11" t="n">
        <f aca="false">D976*Calculator!$B$8</f>
        <v>0</v>
      </c>
      <c r="G976" s="11" t="n">
        <f aca="false">IF(B976&gt;0,'Tax Tables'!$B$32*MIN(MAX(B976/'Tax Tables'!$B$32*'Tax Tables'!$B$33,'Tax Tables'!$B$34),'Tax Tables'!$B$35),0)</f>
        <v>0</v>
      </c>
      <c r="H976" s="11" t="n">
        <f aca="false">Calculator!$B$5-A976-F976-G976</f>
        <v>-81500</v>
      </c>
      <c r="I976" s="11" t="n">
        <f aca="false">'Tax Tables'!$B$22*(MAX(H976,0)-IF(Calculator!$B$10="Yes",MIN(MAX(H976,0),'Tax Tables'!$B$27)*'Tax Tables'!$B$28+MIN(MAX(MAX(H976,0)-'Tax Tables'!$B$27,0),'Tax Tables'!$B$29)*'Tax Tables'!$B$30,MIN(MAX(H976,0),'Tax Tables'!$B$23)*'Tax Tables'!$B$24+MIN(MAX(MAX(H976,0)-'Tax Tables'!$B$23,0),'Tax Tables'!$B$25)*'Tax Tables'!$B$26))*1-MIN('Tax Tables'!$B$22*(MAX(H976,0)-IF(Calculator!$B$10="Yes",MIN(MAX(H976,0),'Tax Tables'!$B$27)*'Tax Tables'!$B$28+MIN(MAX(MAX(H976,0)-'Tax Tables'!$B$27,0),'Tax Tables'!$B$29)*'Tax Tables'!$B$30,MIN(MAX(H976,0),'Tax Tables'!$B$23)*'Tax Tables'!$B$24+MIN(MAX(MAX(H976,0)-'Tax Tables'!$B$23,0),'Tax Tables'!$B$25)*'Tax Tables'!$B$26))*Calculator!$B$11,Calculator!$B$12)</f>
        <v>0</v>
      </c>
      <c r="J976" s="11" t="n">
        <f aca="false">MAX(H976,0)-I976</f>
        <v>0</v>
      </c>
      <c r="K976" s="11" t="n">
        <f aca="false">MIN(IF(A976&gt;0,Calculator!$B$13,0)+E976+Calculator!$B$14,'Tax Tables'!$B$36)</f>
        <v>1000</v>
      </c>
      <c r="L976" s="11" t="n">
        <f aca="false">MAX(A976-K976,0)</f>
        <v>480500</v>
      </c>
      <c r="M976" s="11" t="n">
        <f aca="false">SUMPRODUCT((L976&gt;'Tax Tables'!$A$5:$A$17)*(L976-'Tax Tables'!$A$5:$A$17)*'Tax Tables'!$C$5:$C$17)</f>
        <v>79860</v>
      </c>
      <c r="N976" s="11" t="n">
        <f aca="false">IF(H976&lt;0,-1E+099,A976-E976-M976+J976+(E976+F976)*Calculator!$B$9)</f>
        <v>-1E+099</v>
      </c>
      <c r="O976" s="2"/>
      <c r="P976" s="11" t="n">
        <f aca="false">963*$B$3</f>
        <v>481500</v>
      </c>
      <c r="Q976" s="11" t="n">
        <f aca="false">MIN(P976,'Tax Tables'!$B$31*'Tax Tables'!$B$32)</f>
        <v>96000</v>
      </c>
      <c r="R976" s="11" t="n">
        <f aca="false">P976-Q976</f>
        <v>385500</v>
      </c>
      <c r="S976" s="11" t="n">
        <f aca="false">IF(Calculator!$B$6="Yes",MIN(Q976,'Tax Tables'!$B$31*'Tax Tables'!$B$32),0)</f>
        <v>96000</v>
      </c>
      <c r="T976" s="11" t="n">
        <f aca="false">S976*Calculator!$B$7</f>
        <v>19200</v>
      </c>
      <c r="U976" s="11" t="n">
        <f aca="false">S976*Calculator!$B$8</f>
        <v>16320</v>
      </c>
      <c r="V976" s="11" t="n">
        <f aca="false">IF(Q976&gt;0,'Tax Tables'!$B$32*MIN(MAX(Q976/'Tax Tables'!$B$32*'Tax Tables'!$B$33,'Tax Tables'!$B$34),'Tax Tables'!$B$35),0)</f>
        <v>135</v>
      </c>
      <c r="W976" s="11" t="n">
        <f aca="false">Calculator!$B$5-P976-U976-V976</f>
        <v>-97955</v>
      </c>
      <c r="X976" s="11" t="n">
        <f aca="false">'Tax Tables'!$B$22*(MAX(W976,0)-IF(Calculator!$B$10="Yes",MIN(MAX(W976,0),'Tax Tables'!$B$27)*'Tax Tables'!$B$28+MIN(MAX(MAX(W976,0)-'Tax Tables'!$B$27,0),'Tax Tables'!$B$29)*'Tax Tables'!$B$30,MIN(MAX(W976,0),'Tax Tables'!$B$23)*'Tax Tables'!$B$24+MIN(MAX(MAX(W976,0)-'Tax Tables'!$B$23,0),'Tax Tables'!$B$25)*'Tax Tables'!$B$26))*1-MIN('Tax Tables'!$B$22*(MAX(W976,0)-IF(Calculator!$B$10="Yes",MIN(MAX(W976,0),'Tax Tables'!$B$27)*'Tax Tables'!$B$28+MIN(MAX(MAX(W976,0)-'Tax Tables'!$B$27,0),'Tax Tables'!$B$29)*'Tax Tables'!$B$30,MIN(MAX(W976,0),'Tax Tables'!$B$23)*'Tax Tables'!$B$24+MIN(MAX(MAX(W976,0)-'Tax Tables'!$B$23,0),'Tax Tables'!$B$25)*'Tax Tables'!$B$26))*Calculator!$B$11,Calculator!$B$12)</f>
        <v>0</v>
      </c>
      <c r="Y976" s="11" t="n">
        <f aca="false">MAX(W976,0)-X976</f>
        <v>0</v>
      </c>
      <c r="Z976" s="11" t="n">
        <f aca="false">MIN(IF(P976&gt;0,Calculator!$B$13,0)+T976+Calculator!$B$14,'Tax Tables'!$B$36)</f>
        <v>20200</v>
      </c>
      <c r="AA976" s="11" t="n">
        <f aca="false">MAX(P976-Z976,0)</f>
        <v>461300</v>
      </c>
      <c r="AB976" s="11" t="n">
        <f aca="false">SUMPRODUCT((AA976&gt;'Tax Tables'!$A$5:$A$17)*(AA976-'Tax Tables'!$A$5:$A$17)*'Tax Tables'!$C$5:$C$17)</f>
        <v>75636</v>
      </c>
      <c r="AC976" s="11" t="n">
        <f aca="false">IF(W976&lt;0,-1E+099,P976-T976-AB976+Y976+(T976+U976)*Calculator!$B$9)</f>
        <v>-1E+099</v>
      </c>
    </row>
    <row r="977" customFormat="false" ht="15" hidden="false" customHeight="false" outlineLevel="0" collapsed="false">
      <c r="A977" s="11" t="n">
        <f aca="false">964*$B$3</f>
        <v>482000</v>
      </c>
      <c r="B977" s="11" t="n">
        <f aca="false">0</f>
        <v>0</v>
      </c>
      <c r="C977" s="11" t="n">
        <f aca="false">A977-B977</f>
        <v>482000</v>
      </c>
      <c r="D977" s="11" t="n">
        <f aca="false">IF(Calculator!$B$6="Yes",MIN(B977,'Tax Tables'!$B$31*'Tax Tables'!$B$32),0)</f>
        <v>0</v>
      </c>
      <c r="E977" s="11" t="n">
        <f aca="false">D977*Calculator!$B$7</f>
        <v>0</v>
      </c>
      <c r="F977" s="11" t="n">
        <f aca="false">D977*Calculator!$B$8</f>
        <v>0</v>
      </c>
      <c r="G977" s="11" t="n">
        <f aca="false">IF(B977&gt;0,'Tax Tables'!$B$32*MIN(MAX(B977/'Tax Tables'!$B$32*'Tax Tables'!$B$33,'Tax Tables'!$B$34),'Tax Tables'!$B$35),0)</f>
        <v>0</v>
      </c>
      <c r="H977" s="11" t="n">
        <f aca="false">Calculator!$B$5-A977-F977-G977</f>
        <v>-82000</v>
      </c>
      <c r="I977" s="11" t="n">
        <f aca="false">'Tax Tables'!$B$22*(MAX(H977,0)-IF(Calculator!$B$10="Yes",MIN(MAX(H977,0),'Tax Tables'!$B$27)*'Tax Tables'!$B$28+MIN(MAX(MAX(H977,0)-'Tax Tables'!$B$27,0),'Tax Tables'!$B$29)*'Tax Tables'!$B$30,MIN(MAX(H977,0),'Tax Tables'!$B$23)*'Tax Tables'!$B$24+MIN(MAX(MAX(H977,0)-'Tax Tables'!$B$23,0),'Tax Tables'!$B$25)*'Tax Tables'!$B$26))*1-MIN('Tax Tables'!$B$22*(MAX(H977,0)-IF(Calculator!$B$10="Yes",MIN(MAX(H977,0),'Tax Tables'!$B$27)*'Tax Tables'!$B$28+MIN(MAX(MAX(H977,0)-'Tax Tables'!$B$27,0),'Tax Tables'!$B$29)*'Tax Tables'!$B$30,MIN(MAX(H977,0),'Tax Tables'!$B$23)*'Tax Tables'!$B$24+MIN(MAX(MAX(H977,0)-'Tax Tables'!$B$23,0),'Tax Tables'!$B$25)*'Tax Tables'!$B$26))*Calculator!$B$11,Calculator!$B$12)</f>
        <v>0</v>
      </c>
      <c r="J977" s="11" t="n">
        <f aca="false">MAX(H977,0)-I977</f>
        <v>0</v>
      </c>
      <c r="K977" s="11" t="n">
        <f aca="false">MIN(IF(A977&gt;0,Calculator!$B$13,0)+E977+Calculator!$B$14,'Tax Tables'!$B$36)</f>
        <v>1000</v>
      </c>
      <c r="L977" s="11" t="n">
        <f aca="false">MAX(A977-K977,0)</f>
        <v>481000</v>
      </c>
      <c r="M977" s="11" t="n">
        <f aca="false">SUMPRODUCT((L977&gt;'Tax Tables'!$A$5:$A$17)*(L977-'Tax Tables'!$A$5:$A$17)*'Tax Tables'!$C$5:$C$17)</f>
        <v>79970</v>
      </c>
      <c r="N977" s="11" t="n">
        <f aca="false">IF(H977&lt;0,-1E+099,A977-E977-M977+J977+(E977+F977)*Calculator!$B$9)</f>
        <v>-1E+099</v>
      </c>
      <c r="O977" s="2"/>
      <c r="P977" s="11" t="n">
        <f aca="false">964*$B$3</f>
        <v>482000</v>
      </c>
      <c r="Q977" s="11" t="n">
        <f aca="false">MIN(P977,'Tax Tables'!$B$31*'Tax Tables'!$B$32)</f>
        <v>96000</v>
      </c>
      <c r="R977" s="11" t="n">
        <f aca="false">P977-Q977</f>
        <v>386000</v>
      </c>
      <c r="S977" s="11" t="n">
        <f aca="false">IF(Calculator!$B$6="Yes",MIN(Q977,'Tax Tables'!$B$31*'Tax Tables'!$B$32),0)</f>
        <v>96000</v>
      </c>
      <c r="T977" s="11" t="n">
        <f aca="false">S977*Calculator!$B$7</f>
        <v>19200</v>
      </c>
      <c r="U977" s="11" t="n">
        <f aca="false">S977*Calculator!$B$8</f>
        <v>16320</v>
      </c>
      <c r="V977" s="11" t="n">
        <f aca="false">IF(Q977&gt;0,'Tax Tables'!$B$32*MIN(MAX(Q977/'Tax Tables'!$B$32*'Tax Tables'!$B$33,'Tax Tables'!$B$34),'Tax Tables'!$B$35),0)</f>
        <v>135</v>
      </c>
      <c r="W977" s="11" t="n">
        <f aca="false">Calculator!$B$5-P977-U977-V977</f>
        <v>-98455</v>
      </c>
      <c r="X977" s="11" t="n">
        <f aca="false">'Tax Tables'!$B$22*(MAX(W977,0)-IF(Calculator!$B$10="Yes",MIN(MAX(W977,0),'Tax Tables'!$B$27)*'Tax Tables'!$B$28+MIN(MAX(MAX(W977,0)-'Tax Tables'!$B$27,0),'Tax Tables'!$B$29)*'Tax Tables'!$B$30,MIN(MAX(W977,0),'Tax Tables'!$B$23)*'Tax Tables'!$B$24+MIN(MAX(MAX(W977,0)-'Tax Tables'!$B$23,0),'Tax Tables'!$B$25)*'Tax Tables'!$B$26))*1-MIN('Tax Tables'!$B$22*(MAX(W977,0)-IF(Calculator!$B$10="Yes",MIN(MAX(W977,0),'Tax Tables'!$B$27)*'Tax Tables'!$B$28+MIN(MAX(MAX(W977,0)-'Tax Tables'!$B$27,0),'Tax Tables'!$B$29)*'Tax Tables'!$B$30,MIN(MAX(W977,0),'Tax Tables'!$B$23)*'Tax Tables'!$B$24+MIN(MAX(MAX(W977,0)-'Tax Tables'!$B$23,0),'Tax Tables'!$B$25)*'Tax Tables'!$B$26))*Calculator!$B$11,Calculator!$B$12)</f>
        <v>0</v>
      </c>
      <c r="Y977" s="11" t="n">
        <f aca="false">MAX(W977,0)-X977</f>
        <v>0</v>
      </c>
      <c r="Z977" s="11" t="n">
        <f aca="false">MIN(IF(P977&gt;0,Calculator!$B$13,0)+T977+Calculator!$B$14,'Tax Tables'!$B$36)</f>
        <v>20200</v>
      </c>
      <c r="AA977" s="11" t="n">
        <f aca="false">MAX(P977-Z977,0)</f>
        <v>461800</v>
      </c>
      <c r="AB977" s="11" t="n">
        <f aca="false">SUMPRODUCT((AA977&gt;'Tax Tables'!$A$5:$A$17)*(AA977-'Tax Tables'!$A$5:$A$17)*'Tax Tables'!$C$5:$C$17)</f>
        <v>75746</v>
      </c>
      <c r="AC977" s="11" t="n">
        <f aca="false">IF(W977&lt;0,-1E+099,P977-T977-AB977+Y977+(T977+U977)*Calculator!$B$9)</f>
        <v>-1E+099</v>
      </c>
    </row>
    <row r="978" customFormat="false" ht="15" hidden="false" customHeight="false" outlineLevel="0" collapsed="false">
      <c r="A978" s="11" t="n">
        <f aca="false">965*$B$3</f>
        <v>482500</v>
      </c>
      <c r="B978" s="11" t="n">
        <f aca="false">0</f>
        <v>0</v>
      </c>
      <c r="C978" s="11" t="n">
        <f aca="false">A978-B978</f>
        <v>482500</v>
      </c>
      <c r="D978" s="11" t="n">
        <f aca="false">IF(Calculator!$B$6="Yes",MIN(B978,'Tax Tables'!$B$31*'Tax Tables'!$B$32),0)</f>
        <v>0</v>
      </c>
      <c r="E978" s="11" t="n">
        <f aca="false">D978*Calculator!$B$7</f>
        <v>0</v>
      </c>
      <c r="F978" s="11" t="n">
        <f aca="false">D978*Calculator!$B$8</f>
        <v>0</v>
      </c>
      <c r="G978" s="11" t="n">
        <f aca="false">IF(B978&gt;0,'Tax Tables'!$B$32*MIN(MAX(B978/'Tax Tables'!$B$32*'Tax Tables'!$B$33,'Tax Tables'!$B$34),'Tax Tables'!$B$35),0)</f>
        <v>0</v>
      </c>
      <c r="H978" s="11" t="n">
        <f aca="false">Calculator!$B$5-A978-F978-G978</f>
        <v>-82500</v>
      </c>
      <c r="I978" s="11" t="n">
        <f aca="false">'Tax Tables'!$B$22*(MAX(H978,0)-IF(Calculator!$B$10="Yes",MIN(MAX(H978,0),'Tax Tables'!$B$27)*'Tax Tables'!$B$28+MIN(MAX(MAX(H978,0)-'Tax Tables'!$B$27,0),'Tax Tables'!$B$29)*'Tax Tables'!$B$30,MIN(MAX(H978,0),'Tax Tables'!$B$23)*'Tax Tables'!$B$24+MIN(MAX(MAX(H978,0)-'Tax Tables'!$B$23,0),'Tax Tables'!$B$25)*'Tax Tables'!$B$26))*1-MIN('Tax Tables'!$B$22*(MAX(H978,0)-IF(Calculator!$B$10="Yes",MIN(MAX(H978,0),'Tax Tables'!$B$27)*'Tax Tables'!$B$28+MIN(MAX(MAX(H978,0)-'Tax Tables'!$B$27,0),'Tax Tables'!$B$29)*'Tax Tables'!$B$30,MIN(MAX(H978,0),'Tax Tables'!$B$23)*'Tax Tables'!$B$24+MIN(MAX(MAX(H978,0)-'Tax Tables'!$B$23,0),'Tax Tables'!$B$25)*'Tax Tables'!$B$26))*Calculator!$B$11,Calculator!$B$12)</f>
        <v>0</v>
      </c>
      <c r="J978" s="11" t="n">
        <f aca="false">MAX(H978,0)-I978</f>
        <v>0</v>
      </c>
      <c r="K978" s="11" t="n">
        <f aca="false">MIN(IF(A978&gt;0,Calculator!$B$13,0)+E978+Calculator!$B$14,'Tax Tables'!$B$36)</f>
        <v>1000</v>
      </c>
      <c r="L978" s="11" t="n">
        <f aca="false">MAX(A978-K978,0)</f>
        <v>481500</v>
      </c>
      <c r="M978" s="11" t="n">
        <f aca="false">SUMPRODUCT((L978&gt;'Tax Tables'!$A$5:$A$17)*(L978-'Tax Tables'!$A$5:$A$17)*'Tax Tables'!$C$5:$C$17)</f>
        <v>80080</v>
      </c>
      <c r="N978" s="11" t="n">
        <f aca="false">IF(H978&lt;0,-1E+099,A978-E978-M978+J978+(E978+F978)*Calculator!$B$9)</f>
        <v>-1E+099</v>
      </c>
      <c r="O978" s="2"/>
      <c r="P978" s="11" t="n">
        <f aca="false">965*$B$3</f>
        <v>482500</v>
      </c>
      <c r="Q978" s="11" t="n">
        <f aca="false">MIN(P978,'Tax Tables'!$B$31*'Tax Tables'!$B$32)</f>
        <v>96000</v>
      </c>
      <c r="R978" s="11" t="n">
        <f aca="false">P978-Q978</f>
        <v>386500</v>
      </c>
      <c r="S978" s="11" t="n">
        <f aca="false">IF(Calculator!$B$6="Yes",MIN(Q978,'Tax Tables'!$B$31*'Tax Tables'!$B$32),0)</f>
        <v>96000</v>
      </c>
      <c r="T978" s="11" t="n">
        <f aca="false">S978*Calculator!$B$7</f>
        <v>19200</v>
      </c>
      <c r="U978" s="11" t="n">
        <f aca="false">S978*Calculator!$B$8</f>
        <v>16320</v>
      </c>
      <c r="V978" s="11" t="n">
        <f aca="false">IF(Q978&gt;0,'Tax Tables'!$B$32*MIN(MAX(Q978/'Tax Tables'!$B$32*'Tax Tables'!$B$33,'Tax Tables'!$B$34),'Tax Tables'!$B$35),0)</f>
        <v>135</v>
      </c>
      <c r="W978" s="11" t="n">
        <f aca="false">Calculator!$B$5-P978-U978-V978</f>
        <v>-98955</v>
      </c>
      <c r="X978" s="11" t="n">
        <f aca="false">'Tax Tables'!$B$22*(MAX(W978,0)-IF(Calculator!$B$10="Yes",MIN(MAX(W978,0),'Tax Tables'!$B$27)*'Tax Tables'!$B$28+MIN(MAX(MAX(W978,0)-'Tax Tables'!$B$27,0),'Tax Tables'!$B$29)*'Tax Tables'!$B$30,MIN(MAX(W978,0),'Tax Tables'!$B$23)*'Tax Tables'!$B$24+MIN(MAX(MAX(W978,0)-'Tax Tables'!$B$23,0),'Tax Tables'!$B$25)*'Tax Tables'!$B$26))*1-MIN('Tax Tables'!$B$22*(MAX(W978,0)-IF(Calculator!$B$10="Yes",MIN(MAX(W978,0),'Tax Tables'!$B$27)*'Tax Tables'!$B$28+MIN(MAX(MAX(W978,0)-'Tax Tables'!$B$27,0),'Tax Tables'!$B$29)*'Tax Tables'!$B$30,MIN(MAX(W978,0),'Tax Tables'!$B$23)*'Tax Tables'!$B$24+MIN(MAX(MAX(W978,0)-'Tax Tables'!$B$23,0),'Tax Tables'!$B$25)*'Tax Tables'!$B$26))*Calculator!$B$11,Calculator!$B$12)</f>
        <v>0</v>
      </c>
      <c r="Y978" s="11" t="n">
        <f aca="false">MAX(W978,0)-X978</f>
        <v>0</v>
      </c>
      <c r="Z978" s="11" t="n">
        <f aca="false">MIN(IF(P978&gt;0,Calculator!$B$13,0)+T978+Calculator!$B$14,'Tax Tables'!$B$36)</f>
        <v>20200</v>
      </c>
      <c r="AA978" s="11" t="n">
        <f aca="false">MAX(P978-Z978,0)</f>
        <v>462300</v>
      </c>
      <c r="AB978" s="11" t="n">
        <f aca="false">SUMPRODUCT((AA978&gt;'Tax Tables'!$A$5:$A$17)*(AA978-'Tax Tables'!$A$5:$A$17)*'Tax Tables'!$C$5:$C$17)</f>
        <v>75856</v>
      </c>
      <c r="AC978" s="11" t="n">
        <f aca="false">IF(W978&lt;0,-1E+099,P978-T978-AB978+Y978+(T978+U978)*Calculator!$B$9)</f>
        <v>-1E+099</v>
      </c>
    </row>
    <row r="979" customFormat="false" ht="15" hidden="false" customHeight="false" outlineLevel="0" collapsed="false">
      <c r="A979" s="11" t="n">
        <f aca="false">966*$B$3</f>
        <v>483000</v>
      </c>
      <c r="B979" s="11" t="n">
        <f aca="false">0</f>
        <v>0</v>
      </c>
      <c r="C979" s="11" t="n">
        <f aca="false">A979-B979</f>
        <v>483000</v>
      </c>
      <c r="D979" s="11" t="n">
        <f aca="false">IF(Calculator!$B$6="Yes",MIN(B979,'Tax Tables'!$B$31*'Tax Tables'!$B$32),0)</f>
        <v>0</v>
      </c>
      <c r="E979" s="11" t="n">
        <f aca="false">D979*Calculator!$B$7</f>
        <v>0</v>
      </c>
      <c r="F979" s="11" t="n">
        <f aca="false">D979*Calculator!$B$8</f>
        <v>0</v>
      </c>
      <c r="G979" s="11" t="n">
        <f aca="false">IF(B979&gt;0,'Tax Tables'!$B$32*MIN(MAX(B979/'Tax Tables'!$B$32*'Tax Tables'!$B$33,'Tax Tables'!$B$34),'Tax Tables'!$B$35),0)</f>
        <v>0</v>
      </c>
      <c r="H979" s="11" t="n">
        <f aca="false">Calculator!$B$5-A979-F979-G979</f>
        <v>-83000</v>
      </c>
      <c r="I979" s="11" t="n">
        <f aca="false">'Tax Tables'!$B$22*(MAX(H979,0)-IF(Calculator!$B$10="Yes",MIN(MAX(H979,0),'Tax Tables'!$B$27)*'Tax Tables'!$B$28+MIN(MAX(MAX(H979,0)-'Tax Tables'!$B$27,0),'Tax Tables'!$B$29)*'Tax Tables'!$B$30,MIN(MAX(H979,0),'Tax Tables'!$B$23)*'Tax Tables'!$B$24+MIN(MAX(MAX(H979,0)-'Tax Tables'!$B$23,0),'Tax Tables'!$B$25)*'Tax Tables'!$B$26))*1-MIN('Tax Tables'!$B$22*(MAX(H979,0)-IF(Calculator!$B$10="Yes",MIN(MAX(H979,0),'Tax Tables'!$B$27)*'Tax Tables'!$B$28+MIN(MAX(MAX(H979,0)-'Tax Tables'!$B$27,0),'Tax Tables'!$B$29)*'Tax Tables'!$B$30,MIN(MAX(H979,0),'Tax Tables'!$B$23)*'Tax Tables'!$B$24+MIN(MAX(MAX(H979,0)-'Tax Tables'!$B$23,0),'Tax Tables'!$B$25)*'Tax Tables'!$B$26))*Calculator!$B$11,Calculator!$B$12)</f>
        <v>0</v>
      </c>
      <c r="J979" s="11" t="n">
        <f aca="false">MAX(H979,0)-I979</f>
        <v>0</v>
      </c>
      <c r="K979" s="11" t="n">
        <f aca="false">MIN(IF(A979&gt;0,Calculator!$B$13,0)+E979+Calculator!$B$14,'Tax Tables'!$B$36)</f>
        <v>1000</v>
      </c>
      <c r="L979" s="11" t="n">
        <f aca="false">MAX(A979-K979,0)</f>
        <v>482000</v>
      </c>
      <c r="M979" s="11" t="n">
        <f aca="false">SUMPRODUCT((L979&gt;'Tax Tables'!$A$5:$A$17)*(L979-'Tax Tables'!$A$5:$A$17)*'Tax Tables'!$C$5:$C$17)</f>
        <v>80190</v>
      </c>
      <c r="N979" s="11" t="n">
        <f aca="false">IF(H979&lt;0,-1E+099,A979-E979-M979+J979+(E979+F979)*Calculator!$B$9)</f>
        <v>-1E+099</v>
      </c>
      <c r="O979" s="2"/>
      <c r="P979" s="11" t="n">
        <f aca="false">966*$B$3</f>
        <v>483000</v>
      </c>
      <c r="Q979" s="11" t="n">
        <f aca="false">MIN(P979,'Tax Tables'!$B$31*'Tax Tables'!$B$32)</f>
        <v>96000</v>
      </c>
      <c r="R979" s="11" t="n">
        <f aca="false">P979-Q979</f>
        <v>387000</v>
      </c>
      <c r="S979" s="11" t="n">
        <f aca="false">IF(Calculator!$B$6="Yes",MIN(Q979,'Tax Tables'!$B$31*'Tax Tables'!$B$32),0)</f>
        <v>96000</v>
      </c>
      <c r="T979" s="11" t="n">
        <f aca="false">S979*Calculator!$B$7</f>
        <v>19200</v>
      </c>
      <c r="U979" s="11" t="n">
        <f aca="false">S979*Calculator!$B$8</f>
        <v>16320</v>
      </c>
      <c r="V979" s="11" t="n">
        <f aca="false">IF(Q979&gt;0,'Tax Tables'!$B$32*MIN(MAX(Q979/'Tax Tables'!$B$32*'Tax Tables'!$B$33,'Tax Tables'!$B$34),'Tax Tables'!$B$35),0)</f>
        <v>135</v>
      </c>
      <c r="W979" s="11" t="n">
        <f aca="false">Calculator!$B$5-P979-U979-V979</f>
        <v>-99455</v>
      </c>
      <c r="X979" s="11" t="n">
        <f aca="false">'Tax Tables'!$B$22*(MAX(W979,0)-IF(Calculator!$B$10="Yes",MIN(MAX(W979,0),'Tax Tables'!$B$27)*'Tax Tables'!$B$28+MIN(MAX(MAX(W979,0)-'Tax Tables'!$B$27,0),'Tax Tables'!$B$29)*'Tax Tables'!$B$30,MIN(MAX(W979,0),'Tax Tables'!$B$23)*'Tax Tables'!$B$24+MIN(MAX(MAX(W979,0)-'Tax Tables'!$B$23,0),'Tax Tables'!$B$25)*'Tax Tables'!$B$26))*1-MIN('Tax Tables'!$B$22*(MAX(W979,0)-IF(Calculator!$B$10="Yes",MIN(MAX(W979,0),'Tax Tables'!$B$27)*'Tax Tables'!$B$28+MIN(MAX(MAX(W979,0)-'Tax Tables'!$B$27,0),'Tax Tables'!$B$29)*'Tax Tables'!$B$30,MIN(MAX(W979,0),'Tax Tables'!$B$23)*'Tax Tables'!$B$24+MIN(MAX(MAX(W979,0)-'Tax Tables'!$B$23,0),'Tax Tables'!$B$25)*'Tax Tables'!$B$26))*Calculator!$B$11,Calculator!$B$12)</f>
        <v>0</v>
      </c>
      <c r="Y979" s="11" t="n">
        <f aca="false">MAX(W979,0)-X979</f>
        <v>0</v>
      </c>
      <c r="Z979" s="11" t="n">
        <f aca="false">MIN(IF(P979&gt;0,Calculator!$B$13,0)+T979+Calculator!$B$14,'Tax Tables'!$B$36)</f>
        <v>20200</v>
      </c>
      <c r="AA979" s="11" t="n">
        <f aca="false">MAX(P979-Z979,0)</f>
        <v>462800</v>
      </c>
      <c r="AB979" s="11" t="n">
        <f aca="false">SUMPRODUCT((AA979&gt;'Tax Tables'!$A$5:$A$17)*(AA979-'Tax Tables'!$A$5:$A$17)*'Tax Tables'!$C$5:$C$17)</f>
        <v>75966</v>
      </c>
      <c r="AC979" s="11" t="n">
        <f aca="false">IF(W979&lt;0,-1E+099,P979-T979-AB979+Y979+(T979+U979)*Calculator!$B$9)</f>
        <v>-1E+099</v>
      </c>
    </row>
    <row r="980" customFormat="false" ht="15" hidden="false" customHeight="false" outlineLevel="0" collapsed="false">
      <c r="A980" s="11" t="n">
        <f aca="false">967*$B$3</f>
        <v>483500</v>
      </c>
      <c r="B980" s="11" t="n">
        <f aca="false">0</f>
        <v>0</v>
      </c>
      <c r="C980" s="11" t="n">
        <f aca="false">A980-B980</f>
        <v>483500</v>
      </c>
      <c r="D980" s="11" t="n">
        <f aca="false">IF(Calculator!$B$6="Yes",MIN(B980,'Tax Tables'!$B$31*'Tax Tables'!$B$32),0)</f>
        <v>0</v>
      </c>
      <c r="E980" s="11" t="n">
        <f aca="false">D980*Calculator!$B$7</f>
        <v>0</v>
      </c>
      <c r="F980" s="11" t="n">
        <f aca="false">D980*Calculator!$B$8</f>
        <v>0</v>
      </c>
      <c r="G980" s="11" t="n">
        <f aca="false">IF(B980&gt;0,'Tax Tables'!$B$32*MIN(MAX(B980/'Tax Tables'!$B$32*'Tax Tables'!$B$33,'Tax Tables'!$B$34),'Tax Tables'!$B$35),0)</f>
        <v>0</v>
      </c>
      <c r="H980" s="11" t="n">
        <f aca="false">Calculator!$B$5-A980-F980-G980</f>
        <v>-83500</v>
      </c>
      <c r="I980" s="11" t="n">
        <f aca="false">'Tax Tables'!$B$22*(MAX(H980,0)-IF(Calculator!$B$10="Yes",MIN(MAX(H980,0),'Tax Tables'!$B$27)*'Tax Tables'!$B$28+MIN(MAX(MAX(H980,0)-'Tax Tables'!$B$27,0),'Tax Tables'!$B$29)*'Tax Tables'!$B$30,MIN(MAX(H980,0),'Tax Tables'!$B$23)*'Tax Tables'!$B$24+MIN(MAX(MAX(H980,0)-'Tax Tables'!$B$23,0),'Tax Tables'!$B$25)*'Tax Tables'!$B$26))*1-MIN('Tax Tables'!$B$22*(MAX(H980,0)-IF(Calculator!$B$10="Yes",MIN(MAX(H980,0),'Tax Tables'!$B$27)*'Tax Tables'!$B$28+MIN(MAX(MAX(H980,0)-'Tax Tables'!$B$27,0),'Tax Tables'!$B$29)*'Tax Tables'!$B$30,MIN(MAX(H980,0),'Tax Tables'!$B$23)*'Tax Tables'!$B$24+MIN(MAX(MAX(H980,0)-'Tax Tables'!$B$23,0),'Tax Tables'!$B$25)*'Tax Tables'!$B$26))*Calculator!$B$11,Calculator!$B$12)</f>
        <v>0</v>
      </c>
      <c r="J980" s="11" t="n">
        <f aca="false">MAX(H980,0)-I980</f>
        <v>0</v>
      </c>
      <c r="K980" s="11" t="n">
        <f aca="false">MIN(IF(A980&gt;0,Calculator!$B$13,0)+E980+Calculator!$B$14,'Tax Tables'!$B$36)</f>
        <v>1000</v>
      </c>
      <c r="L980" s="11" t="n">
        <f aca="false">MAX(A980-K980,0)</f>
        <v>482500</v>
      </c>
      <c r="M980" s="11" t="n">
        <f aca="false">SUMPRODUCT((L980&gt;'Tax Tables'!$A$5:$A$17)*(L980-'Tax Tables'!$A$5:$A$17)*'Tax Tables'!$C$5:$C$17)</f>
        <v>80300</v>
      </c>
      <c r="N980" s="11" t="n">
        <f aca="false">IF(H980&lt;0,-1E+099,A980-E980-M980+J980+(E980+F980)*Calculator!$B$9)</f>
        <v>-1E+099</v>
      </c>
      <c r="O980" s="2"/>
      <c r="P980" s="11" t="n">
        <f aca="false">967*$B$3</f>
        <v>483500</v>
      </c>
      <c r="Q980" s="11" t="n">
        <f aca="false">MIN(P980,'Tax Tables'!$B$31*'Tax Tables'!$B$32)</f>
        <v>96000</v>
      </c>
      <c r="R980" s="11" t="n">
        <f aca="false">P980-Q980</f>
        <v>387500</v>
      </c>
      <c r="S980" s="11" t="n">
        <f aca="false">IF(Calculator!$B$6="Yes",MIN(Q980,'Tax Tables'!$B$31*'Tax Tables'!$B$32),0)</f>
        <v>96000</v>
      </c>
      <c r="T980" s="11" t="n">
        <f aca="false">S980*Calculator!$B$7</f>
        <v>19200</v>
      </c>
      <c r="U980" s="11" t="n">
        <f aca="false">S980*Calculator!$B$8</f>
        <v>16320</v>
      </c>
      <c r="V980" s="11" t="n">
        <f aca="false">IF(Q980&gt;0,'Tax Tables'!$B$32*MIN(MAX(Q980/'Tax Tables'!$B$32*'Tax Tables'!$B$33,'Tax Tables'!$B$34),'Tax Tables'!$B$35),0)</f>
        <v>135</v>
      </c>
      <c r="W980" s="11" t="n">
        <f aca="false">Calculator!$B$5-P980-U980-V980</f>
        <v>-99955</v>
      </c>
      <c r="X980" s="11" t="n">
        <f aca="false">'Tax Tables'!$B$22*(MAX(W980,0)-IF(Calculator!$B$10="Yes",MIN(MAX(W980,0),'Tax Tables'!$B$27)*'Tax Tables'!$B$28+MIN(MAX(MAX(W980,0)-'Tax Tables'!$B$27,0),'Tax Tables'!$B$29)*'Tax Tables'!$B$30,MIN(MAX(W980,0),'Tax Tables'!$B$23)*'Tax Tables'!$B$24+MIN(MAX(MAX(W980,0)-'Tax Tables'!$B$23,0),'Tax Tables'!$B$25)*'Tax Tables'!$B$26))*1-MIN('Tax Tables'!$B$22*(MAX(W980,0)-IF(Calculator!$B$10="Yes",MIN(MAX(W980,0),'Tax Tables'!$B$27)*'Tax Tables'!$B$28+MIN(MAX(MAX(W980,0)-'Tax Tables'!$B$27,0),'Tax Tables'!$B$29)*'Tax Tables'!$B$30,MIN(MAX(W980,0),'Tax Tables'!$B$23)*'Tax Tables'!$B$24+MIN(MAX(MAX(W980,0)-'Tax Tables'!$B$23,0),'Tax Tables'!$B$25)*'Tax Tables'!$B$26))*Calculator!$B$11,Calculator!$B$12)</f>
        <v>0</v>
      </c>
      <c r="Y980" s="11" t="n">
        <f aca="false">MAX(W980,0)-X980</f>
        <v>0</v>
      </c>
      <c r="Z980" s="11" t="n">
        <f aca="false">MIN(IF(P980&gt;0,Calculator!$B$13,0)+T980+Calculator!$B$14,'Tax Tables'!$B$36)</f>
        <v>20200</v>
      </c>
      <c r="AA980" s="11" t="n">
        <f aca="false">MAX(P980-Z980,0)</f>
        <v>463300</v>
      </c>
      <c r="AB980" s="11" t="n">
        <f aca="false">SUMPRODUCT((AA980&gt;'Tax Tables'!$A$5:$A$17)*(AA980-'Tax Tables'!$A$5:$A$17)*'Tax Tables'!$C$5:$C$17)</f>
        <v>76076</v>
      </c>
      <c r="AC980" s="11" t="n">
        <f aca="false">IF(W980&lt;0,-1E+099,P980-T980-AB980+Y980+(T980+U980)*Calculator!$B$9)</f>
        <v>-1E+099</v>
      </c>
    </row>
    <row r="981" customFormat="false" ht="15" hidden="false" customHeight="false" outlineLevel="0" collapsed="false">
      <c r="A981" s="11" t="n">
        <f aca="false">968*$B$3</f>
        <v>484000</v>
      </c>
      <c r="B981" s="11" t="n">
        <f aca="false">0</f>
        <v>0</v>
      </c>
      <c r="C981" s="11" t="n">
        <f aca="false">A981-B981</f>
        <v>484000</v>
      </c>
      <c r="D981" s="11" t="n">
        <f aca="false">IF(Calculator!$B$6="Yes",MIN(B981,'Tax Tables'!$B$31*'Tax Tables'!$B$32),0)</f>
        <v>0</v>
      </c>
      <c r="E981" s="11" t="n">
        <f aca="false">D981*Calculator!$B$7</f>
        <v>0</v>
      </c>
      <c r="F981" s="11" t="n">
        <f aca="false">D981*Calculator!$B$8</f>
        <v>0</v>
      </c>
      <c r="G981" s="11" t="n">
        <f aca="false">IF(B981&gt;0,'Tax Tables'!$B$32*MIN(MAX(B981/'Tax Tables'!$B$32*'Tax Tables'!$B$33,'Tax Tables'!$B$34),'Tax Tables'!$B$35),0)</f>
        <v>0</v>
      </c>
      <c r="H981" s="11" t="n">
        <f aca="false">Calculator!$B$5-A981-F981-G981</f>
        <v>-84000</v>
      </c>
      <c r="I981" s="11" t="n">
        <f aca="false">'Tax Tables'!$B$22*(MAX(H981,0)-IF(Calculator!$B$10="Yes",MIN(MAX(H981,0),'Tax Tables'!$B$27)*'Tax Tables'!$B$28+MIN(MAX(MAX(H981,0)-'Tax Tables'!$B$27,0),'Tax Tables'!$B$29)*'Tax Tables'!$B$30,MIN(MAX(H981,0),'Tax Tables'!$B$23)*'Tax Tables'!$B$24+MIN(MAX(MAX(H981,0)-'Tax Tables'!$B$23,0),'Tax Tables'!$B$25)*'Tax Tables'!$B$26))*1-MIN('Tax Tables'!$B$22*(MAX(H981,0)-IF(Calculator!$B$10="Yes",MIN(MAX(H981,0),'Tax Tables'!$B$27)*'Tax Tables'!$B$28+MIN(MAX(MAX(H981,0)-'Tax Tables'!$B$27,0),'Tax Tables'!$B$29)*'Tax Tables'!$B$30,MIN(MAX(H981,0),'Tax Tables'!$B$23)*'Tax Tables'!$B$24+MIN(MAX(MAX(H981,0)-'Tax Tables'!$B$23,0),'Tax Tables'!$B$25)*'Tax Tables'!$B$26))*Calculator!$B$11,Calculator!$B$12)</f>
        <v>0</v>
      </c>
      <c r="J981" s="11" t="n">
        <f aca="false">MAX(H981,0)-I981</f>
        <v>0</v>
      </c>
      <c r="K981" s="11" t="n">
        <f aca="false">MIN(IF(A981&gt;0,Calculator!$B$13,0)+E981+Calculator!$B$14,'Tax Tables'!$B$36)</f>
        <v>1000</v>
      </c>
      <c r="L981" s="11" t="n">
        <f aca="false">MAX(A981-K981,0)</f>
        <v>483000</v>
      </c>
      <c r="M981" s="11" t="n">
        <f aca="false">SUMPRODUCT((L981&gt;'Tax Tables'!$A$5:$A$17)*(L981-'Tax Tables'!$A$5:$A$17)*'Tax Tables'!$C$5:$C$17)</f>
        <v>80410</v>
      </c>
      <c r="N981" s="11" t="n">
        <f aca="false">IF(H981&lt;0,-1E+099,A981-E981-M981+J981+(E981+F981)*Calculator!$B$9)</f>
        <v>-1E+099</v>
      </c>
      <c r="O981" s="2"/>
      <c r="P981" s="11" t="n">
        <f aca="false">968*$B$3</f>
        <v>484000</v>
      </c>
      <c r="Q981" s="11" t="n">
        <f aca="false">MIN(P981,'Tax Tables'!$B$31*'Tax Tables'!$B$32)</f>
        <v>96000</v>
      </c>
      <c r="R981" s="11" t="n">
        <f aca="false">P981-Q981</f>
        <v>388000</v>
      </c>
      <c r="S981" s="11" t="n">
        <f aca="false">IF(Calculator!$B$6="Yes",MIN(Q981,'Tax Tables'!$B$31*'Tax Tables'!$B$32),0)</f>
        <v>96000</v>
      </c>
      <c r="T981" s="11" t="n">
        <f aca="false">S981*Calculator!$B$7</f>
        <v>19200</v>
      </c>
      <c r="U981" s="11" t="n">
        <f aca="false">S981*Calculator!$B$8</f>
        <v>16320</v>
      </c>
      <c r="V981" s="11" t="n">
        <f aca="false">IF(Q981&gt;0,'Tax Tables'!$B$32*MIN(MAX(Q981/'Tax Tables'!$B$32*'Tax Tables'!$B$33,'Tax Tables'!$B$34),'Tax Tables'!$B$35),0)</f>
        <v>135</v>
      </c>
      <c r="W981" s="11" t="n">
        <f aca="false">Calculator!$B$5-P981-U981-V981</f>
        <v>-100455</v>
      </c>
      <c r="X981" s="11" t="n">
        <f aca="false">'Tax Tables'!$B$22*(MAX(W981,0)-IF(Calculator!$B$10="Yes",MIN(MAX(W981,0),'Tax Tables'!$B$27)*'Tax Tables'!$B$28+MIN(MAX(MAX(W981,0)-'Tax Tables'!$B$27,0),'Tax Tables'!$B$29)*'Tax Tables'!$B$30,MIN(MAX(W981,0),'Tax Tables'!$B$23)*'Tax Tables'!$B$24+MIN(MAX(MAX(W981,0)-'Tax Tables'!$B$23,0),'Tax Tables'!$B$25)*'Tax Tables'!$B$26))*1-MIN('Tax Tables'!$B$22*(MAX(W981,0)-IF(Calculator!$B$10="Yes",MIN(MAX(W981,0),'Tax Tables'!$B$27)*'Tax Tables'!$B$28+MIN(MAX(MAX(W981,0)-'Tax Tables'!$B$27,0),'Tax Tables'!$B$29)*'Tax Tables'!$B$30,MIN(MAX(W981,0),'Tax Tables'!$B$23)*'Tax Tables'!$B$24+MIN(MAX(MAX(W981,0)-'Tax Tables'!$B$23,0),'Tax Tables'!$B$25)*'Tax Tables'!$B$26))*Calculator!$B$11,Calculator!$B$12)</f>
        <v>0</v>
      </c>
      <c r="Y981" s="11" t="n">
        <f aca="false">MAX(W981,0)-X981</f>
        <v>0</v>
      </c>
      <c r="Z981" s="11" t="n">
        <f aca="false">MIN(IF(P981&gt;0,Calculator!$B$13,0)+T981+Calculator!$B$14,'Tax Tables'!$B$36)</f>
        <v>20200</v>
      </c>
      <c r="AA981" s="11" t="n">
        <f aca="false">MAX(P981-Z981,0)</f>
        <v>463800</v>
      </c>
      <c r="AB981" s="11" t="n">
        <f aca="false">SUMPRODUCT((AA981&gt;'Tax Tables'!$A$5:$A$17)*(AA981-'Tax Tables'!$A$5:$A$17)*'Tax Tables'!$C$5:$C$17)</f>
        <v>76186</v>
      </c>
      <c r="AC981" s="11" t="n">
        <f aca="false">IF(W981&lt;0,-1E+099,P981-T981-AB981+Y981+(T981+U981)*Calculator!$B$9)</f>
        <v>-1E+099</v>
      </c>
    </row>
    <row r="982" customFormat="false" ht="15" hidden="false" customHeight="false" outlineLevel="0" collapsed="false">
      <c r="A982" s="11" t="n">
        <f aca="false">969*$B$3</f>
        <v>484500</v>
      </c>
      <c r="B982" s="11" t="n">
        <f aca="false">0</f>
        <v>0</v>
      </c>
      <c r="C982" s="11" t="n">
        <f aca="false">A982-B982</f>
        <v>484500</v>
      </c>
      <c r="D982" s="11" t="n">
        <f aca="false">IF(Calculator!$B$6="Yes",MIN(B982,'Tax Tables'!$B$31*'Tax Tables'!$B$32),0)</f>
        <v>0</v>
      </c>
      <c r="E982" s="11" t="n">
        <f aca="false">D982*Calculator!$B$7</f>
        <v>0</v>
      </c>
      <c r="F982" s="11" t="n">
        <f aca="false">D982*Calculator!$B$8</f>
        <v>0</v>
      </c>
      <c r="G982" s="11" t="n">
        <f aca="false">IF(B982&gt;0,'Tax Tables'!$B$32*MIN(MAX(B982/'Tax Tables'!$B$32*'Tax Tables'!$B$33,'Tax Tables'!$B$34),'Tax Tables'!$B$35),0)</f>
        <v>0</v>
      </c>
      <c r="H982" s="11" t="n">
        <f aca="false">Calculator!$B$5-A982-F982-G982</f>
        <v>-84500</v>
      </c>
      <c r="I982" s="11" t="n">
        <f aca="false">'Tax Tables'!$B$22*(MAX(H982,0)-IF(Calculator!$B$10="Yes",MIN(MAX(H982,0),'Tax Tables'!$B$27)*'Tax Tables'!$B$28+MIN(MAX(MAX(H982,0)-'Tax Tables'!$B$27,0),'Tax Tables'!$B$29)*'Tax Tables'!$B$30,MIN(MAX(H982,0),'Tax Tables'!$B$23)*'Tax Tables'!$B$24+MIN(MAX(MAX(H982,0)-'Tax Tables'!$B$23,0),'Tax Tables'!$B$25)*'Tax Tables'!$B$26))*1-MIN('Tax Tables'!$B$22*(MAX(H982,0)-IF(Calculator!$B$10="Yes",MIN(MAX(H982,0),'Tax Tables'!$B$27)*'Tax Tables'!$B$28+MIN(MAX(MAX(H982,0)-'Tax Tables'!$B$27,0),'Tax Tables'!$B$29)*'Tax Tables'!$B$30,MIN(MAX(H982,0),'Tax Tables'!$B$23)*'Tax Tables'!$B$24+MIN(MAX(MAX(H982,0)-'Tax Tables'!$B$23,0),'Tax Tables'!$B$25)*'Tax Tables'!$B$26))*Calculator!$B$11,Calculator!$B$12)</f>
        <v>0</v>
      </c>
      <c r="J982" s="11" t="n">
        <f aca="false">MAX(H982,0)-I982</f>
        <v>0</v>
      </c>
      <c r="K982" s="11" t="n">
        <f aca="false">MIN(IF(A982&gt;0,Calculator!$B$13,0)+E982+Calculator!$B$14,'Tax Tables'!$B$36)</f>
        <v>1000</v>
      </c>
      <c r="L982" s="11" t="n">
        <f aca="false">MAX(A982-K982,0)</f>
        <v>483500</v>
      </c>
      <c r="M982" s="11" t="n">
        <f aca="false">SUMPRODUCT((L982&gt;'Tax Tables'!$A$5:$A$17)*(L982-'Tax Tables'!$A$5:$A$17)*'Tax Tables'!$C$5:$C$17)</f>
        <v>80520</v>
      </c>
      <c r="N982" s="11" t="n">
        <f aca="false">IF(H982&lt;0,-1E+099,A982-E982-M982+J982+(E982+F982)*Calculator!$B$9)</f>
        <v>-1E+099</v>
      </c>
      <c r="O982" s="2"/>
      <c r="P982" s="11" t="n">
        <f aca="false">969*$B$3</f>
        <v>484500</v>
      </c>
      <c r="Q982" s="11" t="n">
        <f aca="false">MIN(P982,'Tax Tables'!$B$31*'Tax Tables'!$B$32)</f>
        <v>96000</v>
      </c>
      <c r="R982" s="11" t="n">
        <f aca="false">P982-Q982</f>
        <v>388500</v>
      </c>
      <c r="S982" s="11" t="n">
        <f aca="false">IF(Calculator!$B$6="Yes",MIN(Q982,'Tax Tables'!$B$31*'Tax Tables'!$B$32),0)</f>
        <v>96000</v>
      </c>
      <c r="T982" s="11" t="n">
        <f aca="false">S982*Calculator!$B$7</f>
        <v>19200</v>
      </c>
      <c r="U982" s="11" t="n">
        <f aca="false">S982*Calculator!$B$8</f>
        <v>16320</v>
      </c>
      <c r="V982" s="11" t="n">
        <f aca="false">IF(Q982&gt;0,'Tax Tables'!$B$32*MIN(MAX(Q982/'Tax Tables'!$B$32*'Tax Tables'!$B$33,'Tax Tables'!$B$34),'Tax Tables'!$B$35),0)</f>
        <v>135</v>
      </c>
      <c r="W982" s="11" t="n">
        <f aca="false">Calculator!$B$5-P982-U982-V982</f>
        <v>-100955</v>
      </c>
      <c r="X982" s="11" t="n">
        <f aca="false">'Tax Tables'!$B$22*(MAX(W982,0)-IF(Calculator!$B$10="Yes",MIN(MAX(W982,0),'Tax Tables'!$B$27)*'Tax Tables'!$B$28+MIN(MAX(MAX(W982,0)-'Tax Tables'!$B$27,0),'Tax Tables'!$B$29)*'Tax Tables'!$B$30,MIN(MAX(W982,0),'Tax Tables'!$B$23)*'Tax Tables'!$B$24+MIN(MAX(MAX(W982,0)-'Tax Tables'!$B$23,0),'Tax Tables'!$B$25)*'Tax Tables'!$B$26))*1-MIN('Tax Tables'!$B$22*(MAX(W982,0)-IF(Calculator!$B$10="Yes",MIN(MAX(W982,0),'Tax Tables'!$B$27)*'Tax Tables'!$B$28+MIN(MAX(MAX(W982,0)-'Tax Tables'!$B$27,0),'Tax Tables'!$B$29)*'Tax Tables'!$B$30,MIN(MAX(W982,0),'Tax Tables'!$B$23)*'Tax Tables'!$B$24+MIN(MAX(MAX(W982,0)-'Tax Tables'!$B$23,0),'Tax Tables'!$B$25)*'Tax Tables'!$B$26))*Calculator!$B$11,Calculator!$B$12)</f>
        <v>0</v>
      </c>
      <c r="Y982" s="11" t="n">
        <f aca="false">MAX(W982,0)-X982</f>
        <v>0</v>
      </c>
      <c r="Z982" s="11" t="n">
        <f aca="false">MIN(IF(P982&gt;0,Calculator!$B$13,0)+T982+Calculator!$B$14,'Tax Tables'!$B$36)</f>
        <v>20200</v>
      </c>
      <c r="AA982" s="11" t="n">
        <f aca="false">MAX(P982-Z982,0)</f>
        <v>464300</v>
      </c>
      <c r="AB982" s="11" t="n">
        <f aca="false">SUMPRODUCT((AA982&gt;'Tax Tables'!$A$5:$A$17)*(AA982-'Tax Tables'!$A$5:$A$17)*'Tax Tables'!$C$5:$C$17)</f>
        <v>76296</v>
      </c>
      <c r="AC982" s="11" t="n">
        <f aca="false">IF(W982&lt;0,-1E+099,P982-T982-AB982+Y982+(T982+U982)*Calculator!$B$9)</f>
        <v>-1E+099</v>
      </c>
    </row>
    <row r="983" customFormat="false" ht="15" hidden="false" customHeight="false" outlineLevel="0" collapsed="false">
      <c r="A983" s="11" t="n">
        <f aca="false">970*$B$3</f>
        <v>485000</v>
      </c>
      <c r="B983" s="11" t="n">
        <f aca="false">0</f>
        <v>0</v>
      </c>
      <c r="C983" s="11" t="n">
        <f aca="false">A983-B983</f>
        <v>485000</v>
      </c>
      <c r="D983" s="11" t="n">
        <f aca="false">IF(Calculator!$B$6="Yes",MIN(B983,'Tax Tables'!$B$31*'Tax Tables'!$B$32),0)</f>
        <v>0</v>
      </c>
      <c r="E983" s="11" t="n">
        <f aca="false">D983*Calculator!$B$7</f>
        <v>0</v>
      </c>
      <c r="F983" s="11" t="n">
        <f aca="false">D983*Calculator!$B$8</f>
        <v>0</v>
      </c>
      <c r="G983" s="11" t="n">
        <f aca="false">IF(B983&gt;0,'Tax Tables'!$B$32*MIN(MAX(B983/'Tax Tables'!$B$32*'Tax Tables'!$B$33,'Tax Tables'!$B$34),'Tax Tables'!$B$35),0)</f>
        <v>0</v>
      </c>
      <c r="H983" s="11" t="n">
        <f aca="false">Calculator!$B$5-A983-F983-G983</f>
        <v>-85000</v>
      </c>
      <c r="I983" s="11" t="n">
        <f aca="false">'Tax Tables'!$B$22*(MAX(H983,0)-IF(Calculator!$B$10="Yes",MIN(MAX(H983,0),'Tax Tables'!$B$27)*'Tax Tables'!$B$28+MIN(MAX(MAX(H983,0)-'Tax Tables'!$B$27,0),'Tax Tables'!$B$29)*'Tax Tables'!$B$30,MIN(MAX(H983,0),'Tax Tables'!$B$23)*'Tax Tables'!$B$24+MIN(MAX(MAX(H983,0)-'Tax Tables'!$B$23,0),'Tax Tables'!$B$25)*'Tax Tables'!$B$26))*1-MIN('Tax Tables'!$B$22*(MAX(H983,0)-IF(Calculator!$B$10="Yes",MIN(MAX(H983,0),'Tax Tables'!$B$27)*'Tax Tables'!$B$28+MIN(MAX(MAX(H983,0)-'Tax Tables'!$B$27,0),'Tax Tables'!$B$29)*'Tax Tables'!$B$30,MIN(MAX(H983,0),'Tax Tables'!$B$23)*'Tax Tables'!$B$24+MIN(MAX(MAX(H983,0)-'Tax Tables'!$B$23,0),'Tax Tables'!$B$25)*'Tax Tables'!$B$26))*Calculator!$B$11,Calculator!$B$12)</f>
        <v>0</v>
      </c>
      <c r="J983" s="11" t="n">
        <f aca="false">MAX(H983,0)-I983</f>
        <v>0</v>
      </c>
      <c r="K983" s="11" t="n">
        <f aca="false">MIN(IF(A983&gt;0,Calculator!$B$13,0)+E983+Calculator!$B$14,'Tax Tables'!$B$36)</f>
        <v>1000</v>
      </c>
      <c r="L983" s="11" t="n">
        <f aca="false">MAX(A983-K983,0)</f>
        <v>484000</v>
      </c>
      <c r="M983" s="11" t="n">
        <f aca="false">SUMPRODUCT((L983&gt;'Tax Tables'!$A$5:$A$17)*(L983-'Tax Tables'!$A$5:$A$17)*'Tax Tables'!$C$5:$C$17)</f>
        <v>80630</v>
      </c>
      <c r="N983" s="11" t="n">
        <f aca="false">IF(H983&lt;0,-1E+099,A983-E983-M983+J983+(E983+F983)*Calculator!$B$9)</f>
        <v>-1E+099</v>
      </c>
      <c r="O983" s="2"/>
      <c r="P983" s="11" t="n">
        <f aca="false">970*$B$3</f>
        <v>485000</v>
      </c>
      <c r="Q983" s="11" t="n">
        <f aca="false">MIN(P983,'Tax Tables'!$B$31*'Tax Tables'!$B$32)</f>
        <v>96000</v>
      </c>
      <c r="R983" s="11" t="n">
        <f aca="false">P983-Q983</f>
        <v>389000</v>
      </c>
      <c r="S983" s="11" t="n">
        <f aca="false">IF(Calculator!$B$6="Yes",MIN(Q983,'Tax Tables'!$B$31*'Tax Tables'!$B$32),0)</f>
        <v>96000</v>
      </c>
      <c r="T983" s="11" t="n">
        <f aca="false">S983*Calculator!$B$7</f>
        <v>19200</v>
      </c>
      <c r="U983" s="11" t="n">
        <f aca="false">S983*Calculator!$B$8</f>
        <v>16320</v>
      </c>
      <c r="V983" s="11" t="n">
        <f aca="false">IF(Q983&gt;0,'Tax Tables'!$B$32*MIN(MAX(Q983/'Tax Tables'!$B$32*'Tax Tables'!$B$33,'Tax Tables'!$B$34),'Tax Tables'!$B$35),0)</f>
        <v>135</v>
      </c>
      <c r="W983" s="11" t="n">
        <f aca="false">Calculator!$B$5-P983-U983-V983</f>
        <v>-101455</v>
      </c>
      <c r="X983" s="11" t="n">
        <f aca="false">'Tax Tables'!$B$22*(MAX(W983,0)-IF(Calculator!$B$10="Yes",MIN(MAX(W983,0),'Tax Tables'!$B$27)*'Tax Tables'!$B$28+MIN(MAX(MAX(W983,0)-'Tax Tables'!$B$27,0),'Tax Tables'!$B$29)*'Tax Tables'!$B$30,MIN(MAX(W983,0),'Tax Tables'!$B$23)*'Tax Tables'!$B$24+MIN(MAX(MAX(W983,0)-'Tax Tables'!$B$23,0),'Tax Tables'!$B$25)*'Tax Tables'!$B$26))*1-MIN('Tax Tables'!$B$22*(MAX(W983,0)-IF(Calculator!$B$10="Yes",MIN(MAX(W983,0),'Tax Tables'!$B$27)*'Tax Tables'!$B$28+MIN(MAX(MAX(W983,0)-'Tax Tables'!$B$27,0),'Tax Tables'!$B$29)*'Tax Tables'!$B$30,MIN(MAX(W983,0),'Tax Tables'!$B$23)*'Tax Tables'!$B$24+MIN(MAX(MAX(W983,0)-'Tax Tables'!$B$23,0),'Tax Tables'!$B$25)*'Tax Tables'!$B$26))*Calculator!$B$11,Calculator!$B$12)</f>
        <v>0</v>
      </c>
      <c r="Y983" s="11" t="n">
        <f aca="false">MAX(W983,0)-X983</f>
        <v>0</v>
      </c>
      <c r="Z983" s="11" t="n">
        <f aca="false">MIN(IF(P983&gt;0,Calculator!$B$13,0)+T983+Calculator!$B$14,'Tax Tables'!$B$36)</f>
        <v>20200</v>
      </c>
      <c r="AA983" s="11" t="n">
        <f aca="false">MAX(P983-Z983,0)</f>
        <v>464800</v>
      </c>
      <c r="AB983" s="11" t="n">
        <f aca="false">SUMPRODUCT((AA983&gt;'Tax Tables'!$A$5:$A$17)*(AA983-'Tax Tables'!$A$5:$A$17)*'Tax Tables'!$C$5:$C$17)</f>
        <v>76406</v>
      </c>
      <c r="AC983" s="11" t="n">
        <f aca="false">IF(W983&lt;0,-1E+099,P983-T983-AB983+Y983+(T983+U983)*Calculator!$B$9)</f>
        <v>-1E+099</v>
      </c>
    </row>
    <row r="984" customFormat="false" ht="15" hidden="false" customHeight="false" outlineLevel="0" collapsed="false">
      <c r="A984" s="11" t="n">
        <f aca="false">971*$B$3</f>
        <v>485500</v>
      </c>
      <c r="B984" s="11" t="n">
        <f aca="false">0</f>
        <v>0</v>
      </c>
      <c r="C984" s="11" t="n">
        <f aca="false">A984-B984</f>
        <v>485500</v>
      </c>
      <c r="D984" s="11" t="n">
        <f aca="false">IF(Calculator!$B$6="Yes",MIN(B984,'Tax Tables'!$B$31*'Tax Tables'!$B$32),0)</f>
        <v>0</v>
      </c>
      <c r="E984" s="11" t="n">
        <f aca="false">D984*Calculator!$B$7</f>
        <v>0</v>
      </c>
      <c r="F984" s="11" t="n">
        <f aca="false">D984*Calculator!$B$8</f>
        <v>0</v>
      </c>
      <c r="G984" s="11" t="n">
        <f aca="false">IF(B984&gt;0,'Tax Tables'!$B$32*MIN(MAX(B984/'Tax Tables'!$B$32*'Tax Tables'!$B$33,'Tax Tables'!$B$34),'Tax Tables'!$B$35),0)</f>
        <v>0</v>
      </c>
      <c r="H984" s="11" t="n">
        <f aca="false">Calculator!$B$5-A984-F984-G984</f>
        <v>-85500</v>
      </c>
      <c r="I984" s="11" t="n">
        <f aca="false">'Tax Tables'!$B$22*(MAX(H984,0)-IF(Calculator!$B$10="Yes",MIN(MAX(H984,0),'Tax Tables'!$B$27)*'Tax Tables'!$B$28+MIN(MAX(MAX(H984,0)-'Tax Tables'!$B$27,0),'Tax Tables'!$B$29)*'Tax Tables'!$B$30,MIN(MAX(H984,0),'Tax Tables'!$B$23)*'Tax Tables'!$B$24+MIN(MAX(MAX(H984,0)-'Tax Tables'!$B$23,0),'Tax Tables'!$B$25)*'Tax Tables'!$B$26))*1-MIN('Tax Tables'!$B$22*(MAX(H984,0)-IF(Calculator!$B$10="Yes",MIN(MAX(H984,0),'Tax Tables'!$B$27)*'Tax Tables'!$B$28+MIN(MAX(MAX(H984,0)-'Tax Tables'!$B$27,0),'Tax Tables'!$B$29)*'Tax Tables'!$B$30,MIN(MAX(H984,0),'Tax Tables'!$B$23)*'Tax Tables'!$B$24+MIN(MAX(MAX(H984,0)-'Tax Tables'!$B$23,0),'Tax Tables'!$B$25)*'Tax Tables'!$B$26))*Calculator!$B$11,Calculator!$B$12)</f>
        <v>0</v>
      </c>
      <c r="J984" s="11" t="n">
        <f aca="false">MAX(H984,0)-I984</f>
        <v>0</v>
      </c>
      <c r="K984" s="11" t="n">
        <f aca="false">MIN(IF(A984&gt;0,Calculator!$B$13,0)+E984+Calculator!$B$14,'Tax Tables'!$B$36)</f>
        <v>1000</v>
      </c>
      <c r="L984" s="11" t="n">
        <f aca="false">MAX(A984-K984,0)</f>
        <v>484500</v>
      </c>
      <c r="M984" s="11" t="n">
        <f aca="false">SUMPRODUCT((L984&gt;'Tax Tables'!$A$5:$A$17)*(L984-'Tax Tables'!$A$5:$A$17)*'Tax Tables'!$C$5:$C$17)</f>
        <v>80740</v>
      </c>
      <c r="N984" s="11" t="n">
        <f aca="false">IF(H984&lt;0,-1E+099,A984-E984-M984+J984+(E984+F984)*Calculator!$B$9)</f>
        <v>-1E+099</v>
      </c>
      <c r="O984" s="2"/>
      <c r="P984" s="11" t="n">
        <f aca="false">971*$B$3</f>
        <v>485500</v>
      </c>
      <c r="Q984" s="11" t="n">
        <f aca="false">MIN(P984,'Tax Tables'!$B$31*'Tax Tables'!$B$32)</f>
        <v>96000</v>
      </c>
      <c r="R984" s="11" t="n">
        <f aca="false">P984-Q984</f>
        <v>389500</v>
      </c>
      <c r="S984" s="11" t="n">
        <f aca="false">IF(Calculator!$B$6="Yes",MIN(Q984,'Tax Tables'!$B$31*'Tax Tables'!$B$32),0)</f>
        <v>96000</v>
      </c>
      <c r="T984" s="11" t="n">
        <f aca="false">S984*Calculator!$B$7</f>
        <v>19200</v>
      </c>
      <c r="U984" s="11" t="n">
        <f aca="false">S984*Calculator!$B$8</f>
        <v>16320</v>
      </c>
      <c r="V984" s="11" t="n">
        <f aca="false">IF(Q984&gt;0,'Tax Tables'!$B$32*MIN(MAX(Q984/'Tax Tables'!$B$32*'Tax Tables'!$B$33,'Tax Tables'!$B$34),'Tax Tables'!$B$35),0)</f>
        <v>135</v>
      </c>
      <c r="W984" s="11" t="n">
        <f aca="false">Calculator!$B$5-P984-U984-V984</f>
        <v>-101955</v>
      </c>
      <c r="X984" s="11" t="n">
        <f aca="false">'Tax Tables'!$B$22*(MAX(W984,0)-IF(Calculator!$B$10="Yes",MIN(MAX(W984,0),'Tax Tables'!$B$27)*'Tax Tables'!$B$28+MIN(MAX(MAX(W984,0)-'Tax Tables'!$B$27,0),'Tax Tables'!$B$29)*'Tax Tables'!$B$30,MIN(MAX(W984,0),'Tax Tables'!$B$23)*'Tax Tables'!$B$24+MIN(MAX(MAX(W984,0)-'Tax Tables'!$B$23,0),'Tax Tables'!$B$25)*'Tax Tables'!$B$26))*1-MIN('Tax Tables'!$B$22*(MAX(W984,0)-IF(Calculator!$B$10="Yes",MIN(MAX(W984,0),'Tax Tables'!$B$27)*'Tax Tables'!$B$28+MIN(MAX(MAX(W984,0)-'Tax Tables'!$B$27,0),'Tax Tables'!$B$29)*'Tax Tables'!$B$30,MIN(MAX(W984,0),'Tax Tables'!$B$23)*'Tax Tables'!$B$24+MIN(MAX(MAX(W984,0)-'Tax Tables'!$B$23,0),'Tax Tables'!$B$25)*'Tax Tables'!$B$26))*Calculator!$B$11,Calculator!$B$12)</f>
        <v>0</v>
      </c>
      <c r="Y984" s="11" t="n">
        <f aca="false">MAX(W984,0)-X984</f>
        <v>0</v>
      </c>
      <c r="Z984" s="11" t="n">
        <f aca="false">MIN(IF(P984&gt;0,Calculator!$B$13,0)+T984+Calculator!$B$14,'Tax Tables'!$B$36)</f>
        <v>20200</v>
      </c>
      <c r="AA984" s="11" t="n">
        <f aca="false">MAX(P984-Z984,0)</f>
        <v>465300</v>
      </c>
      <c r="AB984" s="11" t="n">
        <f aca="false">SUMPRODUCT((AA984&gt;'Tax Tables'!$A$5:$A$17)*(AA984-'Tax Tables'!$A$5:$A$17)*'Tax Tables'!$C$5:$C$17)</f>
        <v>76516</v>
      </c>
      <c r="AC984" s="11" t="n">
        <f aca="false">IF(W984&lt;0,-1E+099,P984-T984-AB984+Y984+(T984+U984)*Calculator!$B$9)</f>
        <v>-1E+099</v>
      </c>
    </row>
    <row r="985" customFormat="false" ht="15" hidden="false" customHeight="false" outlineLevel="0" collapsed="false">
      <c r="A985" s="11" t="n">
        <f aca="false">972*$B$3</f>
        <v>486000</v>
      </c>
      <c r="B985" s="11" t="n">
        <f aca="false">0</f>
        <v>0</v>
      </c>
      <c r="C985" s="11" t="n">
        <f aca="false">A985-B985</f>
        <v>486000</v>
      </c>
      <c r="D985" s="11" t="n">
        <f aca="false">IF(Calculator!$B$6="Yes",MIN(B985,'Tax Tables'!$B$31*'Tax Tables'!$B$32),0)</f>
        <v>0</v>
      </c>
      <c r="E985" s="11" t="n">
        <f aca="false">D985*Calculator!$B$7</f>
        <v>0</v>
      </c>
      <c r="F985" s="11" t="n">
        <f aca="false">D985*Calculator!$B$8</f>
        <v>0</v>
      </c>
      <c r="G985" s="11" t="n">
        <f aca="false">IF(B985&gt;0,'Tax Tables'!$B$32*MIN(MAX(B985/'Tax Tables'!$B$32*'Tax Tables'!$B$33,'Tax Tables'!$B$34),'Tax Tables'!$B$35),0)</f>
        <v>0</v>
      </c>
      <c r="H985" s="11" t="n">
        <f aca="false">Calculator!$B$5-A985-F985-G985</f>
        <v>-86000</v>
      </c>
      <c r="I985" s="11" t="n">
        <f aca="false">'Tax Tables'!$B$22*(MAX(H985,0)-IF(Calculator!$B$10="Yes",MIN(MAX(H985,0),'Tax Tables'!$B$27)*'Tax Tables'!$B$28+MIN(MAX(MAX(H985,0)-'Tax Tables'!$B$27,0),'Tax Tables'!$B$29)*'Tax Tables'!$B$30,MIN(MAX(H985,0),'Tax Tables'!$B$23)*'Tax Tables'!$B$24+MIN(MAX(MAX(H985,0)-'Tax Tables'!$B$23,0),'Tax Tables'!$B$25)*'Tax Tables'!$B$26))*1-MIN('Tax Tables'!$B$22*(MAX(H985,0)-IF(Calculator!$B$10="Yes",MIN(MAX(H985,0),'Tax Tables'!$B$27)*'Tax Tables'!$B$28+MIN(MAX(MAX(H985,0)-'Tax Tables'!$B$27,0),'Tax Tables'!$B$29)*'Tax Tables'!$B$30,MIN(MAX(H985,0),'Tax Tables'!$B$23)*'Tax Tables'!$B$24+MIN(MAX(MAX(H985,0)-'Tax Tables'!$B$23,0),'Tax Tables'!$B$25)*'Tax Tables'!$B$26))*Calculator!$B$11,Calculator!$B$12)</f>
        <v>0</v>
      </c>
      <c r="J985" s="11" t="n">
        <f aca="false">MAX(H985,0)-I985</f>
        <v>0</v>
      </c>
      <c r="K985" s="11" t="n">
        <f aca="false">MIN(IF(A985&gt;0,Calculator!$B$13,0)+E985+Calculator!$B$14,'Tax Tables'!$B$36)</f>
        <v>1000</v>
      </c>
      <c r="L985" s="11" t="n">
        <f aca="false">MAX(A985-K985,0)</f>
        <v>485000</v>
      </c>
      <c r="M985" s="11" t="n">
        <f aca="false">SUMPRODUCT((L985&gt;'Tax Tables'!$A$5:$A$17)*(L985-'Tax Tables'!$A$5:$A$17)*'Tax Tables'!$C$5:$C$17)</f>
        <v>80850</v>
      </c>
      <c r="N985" s="11" t="n">
        <f aca="false">IF(H985&lt;0,-1E+099,A985-E985-M985+J985+(E985+F985)*Calculator!$B$9)</f>
        <v>-1E+099</v>
      </c>
      <c r="O985" s="2"/>
      <c r="P985" s="11" t="n">
        <f aca="false">972*$B$3</f>
        <v>486000</v>
      </c>
      <c r="Q985" s="11" t="n">
        <f aca="false">MIN(P985,'Tax Tables'!$B$31*'Tax Tables'!$B$32)</f>
        <v>96000</v>
      </c>
      <c r="R985" s="11" t="n">
        <f aca="false">P985-Q985</f>
        <v>390000</v>
      </c>
      <c r="S985" s="11" t="n">
        <f aca="false">IF(Calculator!$B$6="Yes",MIN(Q985,'Tax Tables'!$B$31*'Tax Tables'!$B$32),0)</f>
        <v>96000</v>
      </c>
      <c r="T985" s="11" t="n">
        <f aca="false">S985*Calculator!$B$7</f>
        <v>19200</v>
      </c>
      <c r="U985" s="11" t="n">
        <f aca="false">S985*Calculator!$B$8</f>
        <v>16320</v>
      </c>
      <c r="V985" s="11" t="n">
        <f aca="false">IF(Q985&gt;0,'Tax Tables'!$B$32*MIN(MAX(Q985/'Tax Tables'!$B$32*'Tax Tables'!$B$33,'Tax Tables'!$B$34),'Tax Tables'!$B$35),0)</f>
        <v>135</v>
      </c>
      <c r="W985" s="11" t="n">
        <f aca="false">Calculator!$B$5-P985-U985-V985</f>
        <v>-102455</v>
      </c>
      <c r="X985" s="11" t="n">
        <f aca="false">'Tax Tables'!$B$22*(MAX(W985,0)-IF(Calculator!$B$10="Yes",MIN(MAX(W985,0),'Tax Tables'!$B$27)*'Tax Tables'!$B$28+MIN(MAX(MAX(W985,0)-'Tax Tables'!$B$27,0),'Tax Tables'!$B$29)*'Tax Tables'!$B$30,MIN(MAX(W985,0),'Tax Tables'!$B$23)*'Tax Tables'!$B$24+MIN(MAX(MAX(W985,0)-'Tax Tables'!$B$23,0),'Tax Tables'!$B$25)*'Tax Tables'!$B$26))*1-MIN('Tax Tables'!$B$22*(MAX(W985,0)-IF(Calculator!$B$10="Yes",MIN(MAX(W985,0),'Tax Tables'!$B$27)*'Tax Tables'!$B$28+MIN(MAX(MAX(W985,0)-'Tax Tables'!$B$27,0),'Tax Tables'!$B$29)*'Tax Tables'!$B$30,MIN(MAX(W985,0),'Tax Tables'!$B$23)*'Tax Tables'!$B$24+MIN(MAX(MAX(W985,0)-'Tax Tables'!$B$23,0),'Tax Tables'!$B$25)*'Tax Tables'!$B$26))*Calculator!$B$11,Calculator!$B$12)</f>
        <v>0</v>
      </c>
      <c r="Y985" s="11" t="n">
        <f aca="false">MAX(W985,0)-X985</f>
        <v>0</v>
      </c>
      <c r="Z985" s="11" t="n">
        <f aca="false">MIN(IF(P985&gt;0,Calculator!$B$13,0)+T985+Calculator!$B$14,'Tax Tables'!$B$36)</f>
        <v>20200</v>
      </c>
      <c r="AA985" s="11" t="n">
        <f aca="false">MAX(P985-Z985,0)</f>
        <v>465800</v>
      </c>
      <c r="AB985" s="11" t="n">
        <f aca="false">SUMPRODUCT((AA985&gt;'Tax Tables'!$A$5:$A$17)*(AA985-'Tax Tables'!$A$5:$A$17)*'Tax Tables'!$C$5:$C$17)</f>
        <v>76626</v>
      </c>
      <c r="AC985" s="11" t="n">
        <f aca="false">IF(W985&lt;0,-1E+099,P985-T985-AB985+Y985+(T985+U985)*Calculator!$B$9)</f>
        <v>-1E+099</v>
      </c>
    </row>
    <row r="986" customFormat="false" ht="15" hidden="false" customHeight="false" outlineLevel="0" collapsed="false">
      <c r="A986" s="11" t="n">
        <f aca="false">973*$B$3</f>
        <v>486500</v>
      </c>
      <c r="B986" s="11" t="n">
        <f aca="false">0</f>
        <v>0</v>
      </c>
      <c r="C986" s="11" t="n">
        <f aca="false">A986-B986</f>
        <v>486500</v>
      </c>
      <c r="D986" s="11" t="n">
        <f aca="false">IF(Calculator!$B$6="Yes",MIN(B986,'Tax Tables'!$B$31*'Tax Tables'!$B$32),0)</f>
        <v>0</v>
      </c>
      <c r="E986" s="11" t="n">
        <f aca="false">D986*Calculator!$B$7</f>
        <v>0</v>
      </c>
      <c r="F986" s="11" t="n">
        <f aca="false">D986*Calculator!$B$8</f>
        <v>0</v>
      </c>
      <c r="G986" s="11" t="n">
        <f aca="false">IF(B986&gt;0,'Tax Tables'!$B$32*MIN(MAX(B986/'Tax Tables'!$B$32*'Tax Tables'!$B$33,'Tax Tables'!$B$34),'Tax Tables'!$B$35),0)</f>
        <v>0</v>
      </c>
      <c r="H986" s="11" t="n">
        <f aca="false">Calculator!$B$5-A986-F986-G986</f>
        <v>-86500</v>
      </c>
      <c r="I986" s="11" t="n">
        <f aca="false">'Tax Tables'!$B$22*(MAX(H986,0)-IF(Calculator!$B$10="Yes",MIN(MAX(H986,0),'Tax Tables'!$B$27)*'Tax Tables'!$B$28+MIN(MAX(MAX(H986,0)-'Tax Tables'!$B$27,0),'Tax Tables'!$B$29)*'Tax Tables'!$B$30,MIN(MAX(H986,0),'Tax Tables'!$B$23)*'Tax Tables'!$B$24+MIN(MAX(MAX(H986,0)-'Tax Tables'!$B$23,0),'Tax Tables'!$B$25)*'Tax Tables'!$B$26))*1-MIN('Tax Tables'!$B$22*(MAX(H986,0)-IF(Calculator!$B$10="Yes",MIN(MAX(H986,0),'Tax Tables'!$B$27)*'Tax Tables'!$B$28+MIN(MAX(MAX(H986,0)-'Tax Tables'!$B$27,0),'Tax Tables'!$B$29)*'Tax Tables'!$B$30,MIN(MAX(H986,0),'Tax Tables'!$B$23)*'Tax Tables'!$B$24+MIN(MAX(MAX(H986,0)-'Tax Tables'!$B$23,0),'Tax Tables'!$B$25)*'Tax Tables'!$B$26))*Calculator!$B$11,Calculator!$B$12)</f>
        <v>0</v>
      </c>
      <c r="J986" s="11" t="n">
        <f aca="false">MAX(H986,0)-I986</f>
        <v>0</v>
      </c>
      <c r="K986" s="11" t="n">
        <f aca="false">MIN(IF(A986&gt;0,Calculator!$B$13,0)+E986+Calculator!$B$14,'Tax Tables'!$B$36)</f>
        <v>1000</v>
      </c>
      <c r="L986" s="11" t="n">
        <f aca="false">MAX(A986-K986,0)</f>
        <v>485500</v>
      </c>
      <c r="M986" s="11" t="n">
        <f aca="false">SUMPRODUCT((L986&gt;'Tax Tables'!$A$5:$A$17)*(L986-'Tax Tables'!$A$5:$A$17)*'Tax Tables'!$C$5:$C$17)</f>
        <v>80960</v>
      </c>
      <c r="N986" s="11" t="n">
        <f aca="false">IF(H986&lt;0,-1E+099,A986-E986-M986+J986+(E986+F986)*Calculator!$B$9)</f>
        <v>-1E+099</v>
      </c>
      <c r="O986" s="2"/>
      <c r="P986" s="11" t="n">
        <f aca="false">973*$B$3</f>
        <v>486500</v>
      </c>
      <c r="Q986" s="11" t="n">
        <f aca="false">MIN(P986,'Tax Tables'!$B$31*'Tax Tables'!$B$32)</f>
        <v>96000</v>
      </c>
      <c r="R986" s="11" t="n">
        <f aca="false">P986-Q986</f>
        <v>390500</v>
      </c>
      <c r="S986" s="11" t="n">
        <f aca="false">IF(Calculator!$B$6="Yes",MIN(Q986,'Tax Tables'!$B$31*'Tax Tables'!$B$32),0)</f>
        <v>96000</v>
      </c>
      <c r="T986" s="11" t="n">
        <f aca="false">S986*Calculator!$B$7</f>
        <v>19200</v>
      </c>
      <c r="U986" s="11" t="n">
        <f aca="false">S986*Calculator!$B$8</f>
        <v>16320</v>
      </c>
      <c r="V986" s="11" t="n">
        <f aca="false">IF(Q986&gt;0,'Tax Tables'!$B$32*MIN(MAX(Q986/'Tax Tables'!$B$32*'Tax Tables'!$B$33,'Tax Tables'!$B$34),'Tax Tables'!$B$35),0)</f>
        <v>135</v>
      </c>
      <c r="W986" s="11" t="n">
        <f aca="false">Calculator!$B$5-P986-U986-V986</f>
        <v>-102955</v>
      </c>
      <c r="X986" s="11" t="n">
        <f aca="false">'Tax Tables'!$B$22*(MAX(W986,0)-IF(Calculator!$B$10="Yes",MIN(MAX(W986,0),'Tax Tables'!$B$27)*'Tax Tables'!$B$28+MIN(MAX(MAX(W986,0)-'Tax Tables'!$B$27,0),'Tax Tables'!$B$29)*'Tax Tables'!$B$30,MIN(MAX(W986,0),'Tax Tables'!$B$23)*'Tax Tables'!$B$24+MIN(MAX(MAX(W986,0)-'Tax Tables'!$B$23,0),'Tax Tables'!$B$25)*'Tax Tables'!$B$26))*1-MIN('Tax Tables'!$B$22*(MAX(W986,0)-IF(Calculator!$B$10="Yes",MIN(MAX(W986,0),'Tax Tables'!$B$27)*'Tax Tables'!$B$28+MIN(MAX(MAX(W986,0)-'Tax Tables'!$B$27,0),'Tax Tables'!$B$29)*'Tax Tables'!$B$30,MIN(MAX(W986,0),'Tax Tables'!$B$23)*'Tax Tables'!$B$24+MIN(MAX(MAX(W986,0)-'Tax Tables'!$B$23,0),'Tax Tables'!$B$25)*'Tax Tables'!$B$26))*Calculator!$B$11,Calculator!$B$12)</f>
        <v>0</v>
      </c>
      <c r="Y986" s="11" t="n">
        <f aca="false">MAX(W986,0)-X986</f>
        <v>0</v>
      </c>
      <c r="Z986" s="11" t="n">
        <f aca="false">MIN(IF(P986&gt;0,Calculator!$B$13,0)+T986+Calculator!$B$14,'Tax Tables'!$B$36)</f>
        <v>20200</v>
      </c>
      <c r="AA986" s="11" t="n">
        <f aca="false">MAX(P986-Z986,0)</f>
        <v>466300</v>
      </c>
      <c r="AB986" s="11" t="n">
        <f aca="false">SUMPRODUCT((AA986&gt;'Tax Tables'!$A$5:$A$17)*(AA986-'Tax Tables'!$A$5:$A$17)*'Tax Tables'!$C$5:$C$17)</f>
        <v>76736</v>
      </c>
      <c r="AC986" s="11" t="n">
        <f aca="false">IF(W986&lt;0,-1E+099,P986-T986-AB986+Y986+(T986+U986)*Calculator!$B$9)</f>
        <v>-1E+099</v>
      </c>
    </row>
    <row r="987" customFormat="false" ht="15" hidden="false" customHeight="false" outlineLevel="0" collapsed="false">
      <c r="A987" s="11" t="n">
        <f aca="false">974*$B$3</f>
        <v>487000</v>
      </c>
      <c r="B987" s="11" t="n">
        <f aca="false">0</f>
        <v>0</v>
      </c>
      <c r="C987" s="11" t="n">
        <f aca="false">A987-B987</f>
        <v>487000</v>
      </c>
      <c r="D987" s="11" t="n">
        <f aca="false">IF(Calculator!$B$6="Yes",MIN(B987,'Tax Tables'!$B$31*'Tax Tables'!$B$32),0)</f>
        <v>0</v>
      </c>
      <c r="E987" s="11" t="n">
        <f aca="false">D987*Calculator!$B$7</f>
        <v>0</v>
      </c>
      <c r="F987" s="11" t="n">
        <f aca="false">D987*Calculator!$B$8</f>
        <v>0</v>
      </c>
      <c r="G987" s="11" t="n">
        <f aca="false">IF(B987&gt;0,'Tax Tables'!$B$32*MIN(MAX(B987/'Tax Tables'!$B$32*'Tax Tables'!$B$33,'Tax Tables'!$B$34),'Tax Tables'!$B$35),0)</f>
        <v>0</v>
      </c>
      <c r="H987" s="11" t="n">
        <f aca="false">Calculator!$B$5-A987-F987-G987</f>
        <v>-87000</v>
      </c>
      <c r="I987" s="11" t="n">
        <f aca="false">'Tax Tables'!$B$22*(MAX(H987,0)-IF(Calculator!$B$10="Yes",MIN(MAX(H987,0),'Tax Tables'!$B$27)*'Tax Tables'!$B$28+MIN(MAX(MAX(H987,0)-'Tax Tables'!$B$27,0),'Tax Tables'!$B$29)*'Tax Tables'!$B$30,MIN(MAX(H987,0),'Tax Tables'!$B$23)*'Tax Tables'!$B$24+MIN(MAX(MAX(H987,0)-'Tax Tables'!$B$23,0),'Tax Tables'!$B$25)*'Tax Tables'!$B$26))*1-MIN('Tax Tables'!$B$22*(MAX(H987,0)-IF(Calculator!$B$10="Yes",MIN(MAX(H987,0),'Tax Tables'!$B$27)*'Tax Tables'!$B$28+MIN(MAX(MAX(H987,0)-'Tax Tables'!$B$27,0),'Tax Tables'!$B$29)*'Tax Tables'!$B$30,MIN(MAX(H987,0),'Tax Tables'!$B$23)*'Tax Tables'!$B$24+MIN(MAX(MAX(H987,0)-'Tax Tables'!$B$23,0),'Tax Tables'!$B$25)*'Tax Tables'!$B$26))*Calculator!$B$11,Calculator!$B$12)</f>
        <v>0</v>
      </c>
      <c r="J987" s="11" t="n">
        <f aca="false">MAX(H987,0)-I987</f>
        <v>0</v>
      </c>
      <c r="K987" s="11" t="n">
        <f aca="false">MIN(IF(A987&gt;0,Calculator!$B$13,0)+E987+Calculator!$B$14,'Tax Tables'!$B$36)</f>
        <v>1000</v>
      </c>
      <c r="L987" s="11" t="n">
        <f aca="false">MAX(A987-K987,0)</f>
        <v>486000</v>
      </c>
      <c r="M987" s="11" t="n">
        <f aca="false">SUMPRODUCT((L987&gt;'Tax Tables'!$A$5:$A$17)*(L987-'Tax Tables'!$A$5:$A$17)*'Tax Tables'!$C$5:$C$17)</f>
        <v>81070</v>
      </c>
      <c r="N987" s="11" t="n">
        <f aca="false">IF(H987&lt;0,-1E+099,A987-E987-M987+J987+(E987+F987)*Calculator!$B$9)</f>
        <v>-1E+099</v>
      </c>
      <c r="O987" s="2"/>
      <c r="P987" s="11" t="n">
        <f aca="false">974*$B$3</f>
        <v>487000</v>
      </c>
      <c r="Q987" s="11" t="n">
        <f aca="false">MIN(P987,'Tax Tables'!$B$31*'Tax Tables'!$B$32)</f>
        <v>96000</v>
      </c>
      <c r="R987" s="11" t="n">
        <f aca="false">P987-Q987</f>
        <v>391000</v>
      </c>
      <c r="S987" s="11" t="n">
        <f aca="false">IF(Calculator!$B$6="Yes",MIN(Q987,'Tax Tables'!$B$31*'Tax Tables'!$B$32),0)</f>
        <v>96000</v>
      </c>
      <c r="T987" s="11" t="n">
        <f aca="false">S987*Calculator!$B$7</f>
        <v>19200</v>
      </c>
      <c r="U987" s="11" t="n">
        <f aca="false">S987*Calculator!$B$8</f>
        <v>16320</v>
      </c>
      <c r="V987" s="11" t="n">
        <f aca="false">IF(Q987&gt;0,'Tax Tables'!$B$32*MIN(MAX(Q987/'Tax Tables'!$B$32*'Tax Tables'!$B$33,'Tax Tables'!$B$34),'Tax Tables'!$B$35),0)</f>
        <v>135</v>
      </c>
      <c r="W987" s="11" t="n">
        <f aca="false">Calculator!$B$5-P987-U987-V987</f>
        <v>-103455</v>
      </c>
      <c r="X987" s="11" t="n">
        <f aca="false">'Tax Tables'!$B$22*(MAX(W987,0)-IF(Calculator!$B$10="Yes",MIN(MAX(W987,0),'Tax Tables'!$B$27)*'Tax Tables'!$B$28+MIN(MAX(MAX(W987,0)-'Tax Tables'!$B$27,0),'Tax Tables'!$B$29)*'Tax Tables'!$B$30,MIN(MAX(W987,0),'Tax Tables'!$B$23)*'Tax Tables'!$B$24+MIN(MAX(MAX(W987,0)-'Tax Tables'!$B$23,0),'Tax Tables'!$B$25)*'Tax Tables'!$B$26))*1-MIN('Tax Tables'!$B$22*(MAX(W987,0)-IF(Calculator!$B$10="Yes",MIN(MAX(W987,0),'Tax Tables'!$B$27)*'Tax Tables'!$B$28+MIN(MAX(MAX(W987,0)-'Tax Tables'!$B$27,0),'Tax Tables'!$B$29)*'Tax Tables'!$B$30,MIN(MAX(W987,0),'Tax Tables'!$B$23)*'Tax Tables'!$B$24+MIN(MAX(MAX(W987,0)-'Tax Tables'!$B$23,0),'Tax Tables'!$B$25)*'Tax Tables'!$B$26))*Calculator!$B$11,Calculator!$B$12)</f>
        <v>0</v>
      </c>
      <c r="Y987" s="11" t="n">
        <f aca="false">MAX(W987,0)-X987</f>
        <v>0</v>
      </c>
      <c r="Z987" s="11" t="n">
        <f aca="false">MIN(IF(P987&gt;0,Calculator!$B$13,0)+T987+Calculator!$B$14,'Tax Tables'!$B$36)</f>
        <v>20200</v>
      </c>
      <c r="AA987" s="11" t="n">
        <f aca="false">MAX(P987-Z987,0)</f>
        <v>466800</v>
      </c>
      <c r="AB987" s="11" t="n">
        <f aca="false">SUMPRODUCT((AA987&gt;'Tax Tables'!$A$5:$A$17)*(AA987-'Tax Tables'!$A$5:$A$17)*'Tax Tables'!$C$5:$C$17)</f>
        <v>76846</v>
      </c>
      <c r="AC987" s="11" t="n">
        <f aca="false">IF(W987&lt;0,-1E+099,P987-T987-AB987+Y987+(T987+U987)*Calculator!$B$9)</f>
        <v>-1E+099</v>
      </c>
    </row>
    <row r="988" customFormat="false" ht="15" hidden="false" customHeight="false" outlineLevel="0" collapsed="false">
      <c r="A988" s="11" t="n">
        <f aca="false">975*$B$3</f>
        <v>487500</v>
      </c>
      <c r="B988" s="11" t="n">
        <f aca="false">0</f>
        <v>0</v>
      </c>
      <c r="C988" s="11" t="n">
        <f aca="false">A988-B988</f>
        <v>487500</v>
      </c>
      <c r="D988" s="11" t="n">
        <f aca="false">IF(Calculator!$B$6="Yes",MIN(B988,'Tax Tables'!$B$31*'Tax Tables'!$B$32),0)</f>
        <v>0</v>
      </c>
      <c r="E988" s="11" t="n">
        <f aca="false">D988*Calculator!$B$7</f>
        <v>0</v>
      </c>
      <c r="F988" s="11" t="n">
        <f aca="false">D988*Calculator!$B$8</f>
        <v>0</v>
      </c>
      <c r="G988" s="11" t="n">
        <f aca="false">IF(B988&gt;0,'Tax Tables'!$B$32*MIN(MAX(B988/'Tax Tables'!$B$32*'Tax Tables'!$B$33,'Tax Tables'!$B$34),'Tax Tables'!$B$35),0)</f>
        <v>0</v>
      </c>
      <c r="H988" s="11" t="n">
        <f aca="false">Calculator!$B$5-A988-F988-G988</f>
        <v>-87500</v>
      </c>
      <c r="I988" s="11" t="n">
        <f aca="false">'Tax Tables'!$B$22*(MAX(H988,0)-IF(Calculator!$B$10="Yes",MIN(MAX(H988,0),'Tax Tables'!$B$27)*'Tax Tables'!$B$28+MIN(MAX(MAX(H988,0)-'Tax Tables'!$B$27,0),'Tax Tables'!$B$29)*'Tax Tables'!$B$30,MIN(MAX(H988,0),'Tax Tables'!$B$23)*'Tax Tables'!$B$24+MIN(MAX(MAX(H988,0)-'Tax Tables'!$B$23,0),'Tax Tables'!$B$25)*'Tax Tables'!$B$26))*1-MIN('Tax Tables'!$B$22*(MAX(H988,0)-IF(Calculator!$B$10="Yes",MIN(MAX(H988,0),'Tax Tables'!$B$27)*'Tax Tables'!$B$28+MIN(MAX(MAX(H988,0)-'Tax Tables'!$B$27,0),'Tax Tables'!$B$29)*'Tax Tables'!$B$30,MIN(MAX(H988,0),'Tax Tables'!$B$23)*'Tax Tables'!$B$24+MIN(MAX(MAX(H988,0)-'Tax Tables'!$B$23,0),'Tax Tables'!$B$25)*'Tax Tables'!$B$26))*Calculator!$B$11,Calculator!$B$12)</f>
        <v>0</v>
      </c>
      <c r="J988" s="11" t="n">
        <f aca="false">MAX(H988,0)-I988</f>
        <v>0</v>
      </c>
      <c r="K988" s="11" t="n">
        <f aca="false">MIN(IF(A988&gt;0,Calculator!$B$13,0)+E988+Calculator!$B$14,'Tax Tables'!$B$36)</f>
        <v>1000</v>
      </c>
      <c r="L988" s="11" t="n">
        <f aca="false">MAX(A988-K988,0)</f>
        <v>486500</v>
      </c>
      <c r="M988" s="11" t="n">
        <f aca="false">SUMPRODUCT((L988&gt;'Tax Tables'!$A$5:$A$17)*(L988-'Tax Tables'!$A$5:$A$17)*'Tax Tables'!$C$5:$C$17)</f>
        <v>81180</v>
      </c>
      <c r="N988" s="11" t="n">
        <f aca="false">IF(H988&lt;0,-1E+099,A988-E988-M988+J988+(E988+F988)*Calculator!$B$9)</f>
        <v>-1E+099</v>
      </c>
      <c r="O988" s="2"/>
      <c r="P988" s="11" t="n">
        <f aca="false">975*$B$3</f>
        <v>487500</v>
      </c>
      <c r="Q988" s="11" t="n">
        <f aca="false">MIN(P988,'Tax Tables'!$B$31*'Tax Tables'!$B$32)</f>
        <v>96000</v>
      </c>
      <c r="R988" s="11" t="n">
        <f aca="false">P988-Q988</f>
        <v>391500</v>
      </c>
      <c r="S988" s="11" t="n">
        <f aca="false">IF(Calculator!$B$6="Yes",MIN(Q988,'Tax Tables'!$B$31*'Tax Tables'!$B$32),0)</f>
        <v>96000</v>
      </c>
      <c r="T988" s="11" t="n">
        <f aca="false">S988*Calculator!$B$7</f>
        <v>19200</v>
      </c>
      <c r="U988" s="11" t="n">
        <f aca="false">S988*Calculator!$B$8</f>
        <v>16320</v>
      </c>
      <c r="V988" s="11" t="n">
        <f aca="false">IF(Q988&gt;0,'Tax Tables'!$B$32*MIN(MAX(Q988/'Tax Tables'!$B$32*'Tax Tables'!$B$33,'Tax Tables'!$B$34),'Tax Tables'!$B$35),0)</f>
        <v>135</v>
      </c>
      <c r="W988" s="11" t="n">
        <f aca="false">Calculator!$B$5-P988-U988-V988</f>
        <v>-103955</v>
      </c>
      <c r="X988" s="11" t="n">
        <f aca="false">'Tax Tables'!$B$22*(MAX(W988,0)-IF(Calculator!$B$10="Yes",MIN(MAX(W988,0),'Tax Tables'!$B$27)*'Tax Tables'!$B$28+MIN(MAX(MAX(W988,0)-'Tax Tables'!$B$27,0),'Tax Tables'!$B$29)*'Tax Tables'!$B$30,MIN(MAX(W988,0),'Tax Tables'!$B$23)*'Tax Tables'!$B$24+MIN(MAX(MAX(W988,0)-'Tax Tables'!$B$23,0),'Tax Tables'!$B$25)*'Tax Tables'!$B$26))*1-MIN('Tax Tables'!$B$22*(MAX(W988,0)-IF(Calculator!$B$10="Yes",MIN(MAX(W988,0),'Tax Tables'!$B$27)*'Tax Tables'!$B$28+MIN(MAX(MAX(W988,0)-'Tax Tables'!$B$27,0),'Tax Tables'!$B$29)*'Tax Tables'!$B$30,MIN(MAX(W988,0),'Tax Tables'!$B$23)*'Tax Tables'!$B$24+MIN(MAX(MAX(W988,0)-'Tax Tables'!$B$23,0),'Tax Tables'!$B$25)*'Tax Tables'!$B$26))*Calculator!$B$11,Calculator!$B$12)</f>
        <v>0</v>
      </c>
      <c r="Y988" s="11" t="n">
        <f aca="false">MAX(W988,0)-X988</f>
        <v>0</v>
      </c>
      <c r="Z988" s="11" t="n">
        <f aca="false">MIN(IF(P988&gt;0,Calculator!$B$13,0)+T988+Calculator!$B$14,'Tax Tables'!$B$36)</f>
        <v>20200</v>
      </c>
      <c r="AA988" s="11" t="n">
        <f aca="false">MAX(P988-Z988,0)</f>
        <v>467300</v>
      </c>
      <c r="AB988" s="11" t="n">
        <f aca="false">SUMPRODUCT((AA988&gt;'Tax Tables'!$A$5:$A$17)*(AA988-'Tax Tables'!$A$5:$A$17)*'Tax Tables'!$C$5:$C$17)</f>
        <v>76956</v>
      </c>
      <c r="AC988" s="11" t="n">
        <f aca="false">IF(W988&lt;0,-1E+099,P988-T988-AB988+Y988+(T988+U988)*Calculator!$B$9)</f>
        <v>-1E+099</v>
      </c>
    </row>
    <row r="989" customFormat="false" ht="15" hidden="false" customHeight="false" outlineLevel="0" collapsed="false">
      <c r="A989" s="11" t="n">
        <f aca="false">976*$B$3</f>
        <v>488000</v>
      </c>
      <c r="B989" s="11" t="n">
        <f aca="false">0</f>
        <v>0</v>
      </c>
      <c r="C989" s="11" t="n">
        <f aca="false">A989-B989</f>
        <v>488000</v>
      </c>
      <c r="D989" s="11" t="n">
        <f aca="false">IF(Calculator!$B$6="Yes",MIN(B989,'Tax Tables'!$B$31*'Tax Tables'!$B$32),0)</f>
        <v>0</v>
      </c>
      <c r="E989" s="11" t="n">
        <f aca="false">D989*Calculator!$B$7</f>
        <v>0</v>
      </c>
      <c r="F989" s="11" t="n">
        <f aca="false">D989*Calculator!$B$8</f>
        <v>0</v>
      </c>
      <c r="G989" s="11" t="n">
        <f aca="false">IF(B989&gt;0,'Tax Tables'!$B$32*MIN(MAX(B989/'Tax Tables'!$B$32*'Tax Tables'!$B$33,'Tax Tables'!$B$34),'Tax Tables'!$B$35),0)</f>
        <v>0</v>
      </c>
      <c r="H989" s="11" t="n">
        <f aca="false">Calculator!$B$5-A989-F989-G989</f>
        <v>-88000</v>
      </c>
      <c r="I989" s="11" t="n">
        <f aca="false">'Tax Tables'!$B$22*(MAX(H989,0)-IF(Calculator!$B$10="Yes",MIN(MAX(H989,0),'Tax Tables'!$B$27)*'Tax Tables'!$B$28+MIN(MAX(MAX(H989,0)-'Tax Tables'!$B$27,0),'Tax Tables'!$B$29)*'Tax Tables'!$B$30,MIN(MAX(H989,0),'Tax Tables'!$B$23)*'Tax Tables'!$B$24+MIN(MAX(MAX(H989,0)-'Tax Tables'!$B$23,0),'Tax Tables'!$B$25)*'Tax Tables'!$B$26))*1-MIN('Tax Tables'!$B$22*(MAX(H989,0)-IF(Calculator!$B$10="Yes",MIN(MAX(H989,0),'Tax Tables'!$B$27)*'Tax Tables'!$B$28+MIN(MAX(MAX(H989,0)-'Tax Tables'!$B$27,0),'Tax Tables'!$B$29)*'Tax Tables'!$B$30,MIN(MAX(H989,0),'Tax Tables'!$B$23)*'Tax Tables'!$B$24+MIN(MAX(MAX(H989,0)-'Tax Tables'!$B$23,0),'Tax Tables'!$B$25)*'Tax Tables'!$B$26))*Calculator!$B$11,Calculator!$B$12)</f>
        <v>0</v>
      </c>
      <c r="J989" s="11" t="n">
        <f aca="false">MAX(H989,0)-I989</f>
        <v>0</v>
      </c>
      <c r="K989" s="11" t="n">
        <f aca="false">MIN(IF(A989&gt;0,Calculator!$B$13,0)+E989+Calculator!$B$14,'Tax Tables'!$B$36)</f>
        <v>1000</v>
      </c>
      <c r="L989" s="11" t="n">
        <f aca="false">MAX(A989-K989,0)</f>
        <v>487000</v>
      </c>
      <c r="M989" s="11" t="n">
        <f aca="false">SUMPRODUCT((L989&gt;'Tax Tables'!$A$5:$A$17)*(L989-'Tax Tables'!$A$5:$A$17)*'Tax Tables'!$C$5:$C$17)</f>
        <v>81290</v>
      </c>
      <c r="N989" s="11" t="n">
        <f aca="false">IF(H989&lt;0,-1E+099,A989-E989-M989+J989+(E989+F989)*Calculator!$B$9)</f>
        <v>-1E+099</v>
      </c>
      <c r="O989" s="2"/>
      <c r="P989" s="11" t="n">
        <f aca="false">976*$B$3</f>
        <v>488000</v>
      </c>
      <c r="Q989" s="11" t="n">
        <f aca="false">MIN(P989,'Tax Tables'!$B$31*'Tax Tables'!$B$32)</f>
        <v>96000</v>
      </c>
      <c r="R989" s="11" t="n">
        <f aca="false">P989-Q989</f>
        <v>392000</v>
      </c>
      <c r="S989" s="11" t="n">
        <f aca="false">IF(Calculator!$B$6="Yes",MIN(Q989,'Tax Tables'!$B$31*'Tax Tables'!$B$32),0)</f>
        <v>96000</v>
      </c>
      <c r="T989" s="11" t="n">
        <f aca="false">S989*Calculator!$B$7</f>
        <v>19200</v>
      </c>
      <c r="U989" s="11" t="n">
        <f aca="false">S989*Calculator!$B$8</f>
        <v>16320</v>
      </c>
      <c r="V989" s="11" t="n">
        <f aca="false">IF(Q989&gt;0,'Tax Tables'!$B$32*MIN(MAX(Q989/'Tax Tables'!$B$32*'Tax Tables'!$B$33,'Tax Tables'!$B$34),'Tax Tables'!$B$35),0)</f>
        <v>135</v>
      </c>
      <c r="W989" s="11" t="n">
        <f aca="false">Calculator!$B$5-P989-U989-V989</f>
        <v>-104455</v>
      </c>
      <c r="X989" s="11" t="n">
        <f aca="false">'Tax Tables'!$B$22*(MAX(W989,0)-IF(Calculator!$B$10="Yes",MIN(MAX(W989,0),'Tax Tables'!$B$27)*'Tax Tables'!$B$28+MIN(MAX(MAX(W989,0)-'Tax Tables'!$B$27,0),'Tax Tables'!$B$29)*'Tax Tables'!$B$30,MIN(MAX(W989,0),'Tax Tables'!$B$23)*'Tax Tables'!$B$24+MIN(MAX(MAX(W989,0)-'Tax Tables'!$B$23,0),'Tax Tables'!$B$25)*'Tax Tables'!$B$26))*1-MIN('Tax Tables'!$B$22*(MAX(W989,0)-IF(Calculator!$B$10="Yes",MIN(MAX(W989,0),'Tax Tables'!$B$27)*'Tax Tables'!$B$28+MIN(MAX(MAX(W989,0)-'Tax Tables'!$B$27,0),'Tax Tables'!$B$29)*'Tax Tables'!$B$30,MIN(MAX(W989,0),'Tax Tables'!$B$23)*'Tax Tables'!$B$24+MIN(MAX(MAX(W989,0)-'Tax Tables'!$B$23,0),'Tax Tables'!$B$25)*'Tax Tables'!$B$26))*Calculator!$B$11,Calculator!$B$12)</f>
        <v>0</v>
      </c>
      <c r="Y989" s="11" t="n">
        <f aca="false">MAX(W989,0)-X989</f>
        <v>0</v>
      </c>
      <c r="Z989" s="11" t="n">
        <f aca="false">MIN(IF(P989&gt;0,Calculator!$B$13,0)+T989+Calculator!$B$14,'Tax Tables'!$B$36)</f>
        <v>20200</v>
      </c>
      <c r="AA989" s="11" t="n">
        <f aca="false">MAX(P989-Z989,0)</f>
        <v>467800</v>
      </c>
      <c r="AB989" s="11" t="n">
        <f aca="false">SUMPRODUCT((AA989&gt;'Tax Tables'!$A$5:$A$17)*(AA989-'Tax Tables'!$A$5:$A$17)*'Tax Tables'!$C$5:$C$17)</f>
        <v>77066</v>
      </c>
      <c r="AC989" s="11" t="n">
        <f aca="false">IF(W989&lt;0,-1E+099,P989-T989-AB989+Y989+(T989+U989)*Calculator!$B$9)</f>
        <v>-1E+099</v>
      </c>
    </row>
    <row r="990" customFormat="false" ht="15" hidden="false" customHeight="false" outlineLevel="0" collapsed="false">
      <c r="A990" s="11" t="n">
        <f aca="false">977*$B$3</f>
        <v>488500</v>
      </c>
      <c r="B990" s="11" t="n">
        <f aca="false">0</f>
        <v>0</v>
      </c>
      <c r="C990" s="11" t="n">
        <f aca="false">A990-B990</f>
        <v>488500</v>
      </c>
      <c r="D990" s="11" t="n">
        <f aca="false">IF(Calculator!$B$6="Yes",MIN(B990,'Tax Tables'!$B$31*'Tax Tables'!$B$32),0)</f>
        <v>0</v>
      </c>
      <c r="E990" s="11" t="n">
        <f aca="false">D990*Calculator!$B$7</f>
        <v>0</v>
      </c>
      <c r="F990" s="11" t="n">
        <f aca="false">D990*Calculator!$B$8</f>
        <v>0</v>
      </c>
      <c r="G990" s="11" t="n">
        <f aca="false">IF(B990&gt;0,'Tax Tables'!$B$32*MIN(MAX(B990/'Tax Tables'!$B$32*'Tax Tables'!$B$33,'Tax Tables'!$B$34),'Tax Tables'!$B$35),0)</f>
        <v>0</v>
      </c>
      <c r="H990" s="11" t="n">
        <f aca="false">Calculator!$B$5-A990-F990-G990</f>
        <v>-88500</v>
      </c>
      <c r="I990" s="11" t="n">
        <f aca="false">'Tax Tables'!$B$22*(MAX(H990,0)-IF(Calculator!$B$10="Yes",MIN(MAX(H990,0),'Tax Tables'!$B$27)*'Tax Tables'!$B$28+MIN(MAX(MAX(H990,0)-'Tax Tables'!$B$27,0),'Tax Tables'!$B$29)*'Tax Tables'!$B$30,MIN(MAX(H990,0),'Tax Tables'!$B$23)*'Tax Tables'!$B$24+MIN(MAX(MAX(H990,0)-'Tax Tables'!$B$23,0),'Tax Tables'!$B$25)*'Tax Tables'!$B$26))*1-MIN('Tax Tables'!$B$22*(MAX(H990,0)-IF(Calculator!$B$10="Yes",MIN(MAX(H990,0),'Tax Tables'!$B$27)*'Tax Tables'!$B$28+MIN(MAX(MAX(H990,0)-'Tax Tables'!$B$27,0),'Tax Tables'!$B$29)*'Tax Tables'!$B$30,MIN(MAX(H990,0),'Tax Tables'!$B$23)*'Tax Tables'!$B$24+MIN(MAX(MAX(H990,0)-'Tax Tables'!$B$23,0),'Tax Tables'!$B$25)*'Tax Tables'!$B$26))*Calculator!$B$11,Calculator!$B$12)</f>
        <v>0</v>
      </c>
      <c r="J990" s="11" t="n">
        <f aca="false">MAX(H990,0)-I990</f>
        <v>0</v>
      </c>
      <c r="K990" s="11" t="n">
        <f aca="false">MIN(IF(A990&gt;0,Calculator!$B$13,0)+E990+Calculator!$B$14,'Tax Tables'!$B$36)</f>
        <v>1000</v>
      </c>
      <c r="L990" s="11" t="n">
        <f aca="false">MAX(A990-K990,0)</f>
        <v>487500</v>
      </c>
      <c r="M990" s="11" t="n">
        <f aca="false">SUMPRODUCT((L990&gt;'Tax Tables'!$A$5:$A$17)*(L990-'Tax Tables'!$A$5:$A$17)*'Tax Tables'!$C$5:$C$17)</f>
        <v>81400</v>
      </c>
      <c r="N990" s="11" t="n">
        <f aca="false">IF(H990&lt;0,-1E+099,A990-E990-M990+J990+(E990+F990)*Calculator!$B$9)</f>
        <v>-1E+099</v>
      </c>
      <c r="O990" s="2"/>
      <c r="P990" s="11" t="n">
        <f aca="false">977*$B$3</f>
        <v>488500</v>
      </c>
      <c r="Q990" s="11" t="n">
        <f aca="false">MIN(P990,'Tax Tables'!$B$31*'Tax Tables'!$B$32)</f>
        <v>96000</v>
      </c>
      <c r="R990" s="11" t="n">
        <f aca="false">P990-Q990</f>
        <v>392500</v>
      </c>
      <c r="S990" s="11" t="n">
        <f aca="false">IF(Calculator!$B$6="Yes",MIN(Q990,'Tax Tables'!$B$31*'Tax Tables'!$B$32),0)</f>
        <v>96000</v>
      </c>
      <c r="T990" s="11" t="n">
        <f aca="false">S990*Calculator!$B$7</f>
        <v>19200</v>
      </c>
      <c r="U990" s="11" t="n">
        <f aca="false">S990*Calculator!$B$8</f>
        <v>16320</v>
      </c>
      <c r="V990" s="11" t="n">
        <f aca="false">IF(Q990&gt;0,'Tax Tables'!$B$32*MIN(MAX(Q990/'Tax Tables'!$B$32*'Tax Tables'!$B$33,'Tax Tables'!$B$34),'Tax Tables'!$B$35),0)</f>
        <v>135</v>
      </c>
      <c r="W990" s="11" t="n">
        <f aca="false">Calculator!$B$5-P990-U990-V990</f>
        <v>-104955</v>
      </c>
      <c r="X990" s="11" t="n">
        <f aca="false">'Tax Tables'!$B$22*(MAX(W990,0)-IF(Calculator!$B$10="Yes",MIN(MAX(W990,0),'Tax Tables'!$B$27)*'Tax Tables'!$B$28+MIN(MAX(MAX(W990,0)-'Tax Tables'!$B$27,0),'Tax Tables'!$B$29)*'Tax Tables'!$B$30,MIN(MAX(W990,0),'Tax Tables'!$B$23)*'Tax Tables'!$B$24+MIN(MAX(MAX(W990,0)-'Tax Tables'!$B$23,0),'Tax Tables'!$B$25)*'Tax Tables'!$B$26))*1-MIN('Tax Tables'!$B$22*(MAX(W990,0)-IF(Calculator!$B$10="Yes",MIN(MAX(W990,0),'Tax Tables'!$B$27)*'Tax Tables'!$B$28+MIN(MAX(MAX(W990,0)-'Tax Tables'!$B$27,0),'Tax Tables'!$B$29)*'Tax Tables'!$B$30,MIN(MAX(W990,0),'Tax Tables'!$B$23)*'Tax Tables'!$B$24+MIN(MAX(MAX(W990,0)-'Tax Tables'!$B$23,0),'Tax Tables'!$B$25)*'Tax Tables'!$B$26))*Calculator!$B$11,Calculator!$B$12)</f>
        <v>0</v>
      </c>
      <c r="Y990" s="11" t="n">
        <f aca="false">MAX(W990,0)-X990</f>
        <v>0</v>
      </c>
      <c r="Z990" s="11" t="n">
        <f aca="false">MIN(IF(P990&gt;0,Calculator!$B$13,0)+T990+Calculator!$B$14,'Tax Tables'!$B$36)</f>
        <v>20200</v>
      </c>
      <c r="AA990" s="11" t="n">
        <f aca="false">MAX(P990-Z990,0)</f>
        <v>468300</v>
      </c>
      <c r="AB990" s="11" t="n">
        <f aca="false">SUMPRODUCT((AA990&gt;'Tax Tables'!$A$5:$A$17)*(AA990-'Tax Tables'!$A$5:$A$17)*'Tax Tables'!$C$5:$C$17)</f>
        <v>77176</v>
      </c>
      <c r="AC990" s="11" t="n">
        <f aca="false">IF(W990&lt;0,-1E+099,P990-T990-AB990+Y990+(T990+U990)*Calculator!$B$9)</f>
        <v>-1E+099</v>
      </c>
    </row>
    <row r="991" customFormat="false" ht="15" hidden="false" customHeight="false" outlineLevel="0" collapsed="false">
      <c r="A991" s="11" t="n">
        <f aca="false">978*$B$3</f>
        <v>489000</v>
      </c>
      <c r="B991" s="11" t="n">
        <f aca="false">0</f>
        <v>0</v>
      </c>
      <c r="C991" s="11" t="n">
        <f aca="false">A991-B991</f>
        <v>489000</v>
      </c>
      <c r="D991" s="11" t="n">
        <f aca="false">IF(Calculator!$B$6="Yes",MIN(B991,'Tax Tables'!$B$31*'Tax Tables'!$B$32),0)</f>
        <v>0</v>
      </c>
      <c r="E991" s="11" t="n">
        <f aca="false">D991*Calculator!$B$7</f>
        <v>0</v>
      </c>
      <c r="F991" s="11" t="n">
        <f aca="false">D991*Calculator!$B$8</f>
        <v>0</v>
      </c>
      <c r="G991" s="11" t="n">
        <f aca="false">IF(B991&gt;0,'Tax Tables'!$B$32*MIN(MAX(B991/'Tax Tables'!$B$32*'Tax Tables'!$B$33,'Tax Tables'!$B$34),'Tax Tables'!$B$35),0)</f>
        <v>0</v>
      </c>
      <c r="H991" s="11" t="n">
        <f aca="false">Calculator!$B$5-A991-F991-G991</f>
        <v>-89000</v>
      </c>
      <c r="I991" s="11" t="n">
        <f aca="false">'Tax Tables'!$B$22*(MAX(H991,0)-IF(Calculator!$B$10="Yes",MIN(MAX(H991,0),'Tax Tables'!$B$27)*'Tax Tables'!$B$28+MIN(MAX(MAX(H991,0)-'Tax Tables'!$B$27,0),'Tax Tables'!$B$29)*'Tax Tables'!$B$30,MIN(MAX(H991,0),'Tax Tables'!$B$23)*'Tax Tables'!$B$24+MIN(MAX(MAX(H991,0)-'Tax Tables'!$B$23,0),'Tax Tables'!$B$25)*'Tax Tables'!$B$26))*1-MIN('Tax Tables'!$B$22*(MAX(H991,0)-IF(Calculator!$B$10="Yes",MIN(MAX(H991,0),'Tax Tables'!$B$27)*'Tax Tables'!$B$28+MIN(MAX(MAX(H991,0)-'Tax Tables'!$B$27,0),'Tax Tables'!$B$29)*'Tax Tables'!$B$30,MIN(MAX(H991,0),'Tax Tables'!$B$23)*'Tax Tables'!$B$24+MIN(MAX(MAX(H991,0)-'Tax Tables'!$B$23,0),'Tax Tables'!$B$25)*'Tax Tables'!$B$26))*Calculator!$B$11,Calculator!$B$12)</f>
        <v>0</v>
      </c>
      <c r="J991" s="11" t="n">
        <f aca="false">MAX(H991,0)-I991</f>
        <v>0</v>
      </c>
      <c r="K991" s="11" t="n">
        <f aca="false">MIN(IF(A991&gt;0,Calculator!$B$13,0)+E991+Calculator!$B$14,'Tax Tables'!$B$36)</f>
        <v>1000</v>
      </c>
      <c r="L991" s="11" t="n">
        <f aca="false">MAX(A991-K991,0)</f>
        <v>488000</v>
      </c>
      <c r="M991" s="11" t="n">
        <f aca="false">SUMPRODUCT((L991&gt;'Tax Tables'!$A$5:$A$17)*(L991-'Tax Tables'!$A$5:$A$17)*'Tax Tables'!$C$5:$C$17)</f>
        <v>81510</v>
      </c>
      <c r="N991" s="11" t="n">
        <f aca="false">IF(H991&lt;0,-1E+099,A991-E991-M991+J991+(E991+F991)*Calculator!$B$9)</f>
        <v>-1E+099</v>
      </c>
      <c r="O991" s="2"/>
      <c r="P991" s="11" t="n">
        <f aca="false">978*$B$3</f>
        <v>489000</v>
      </c>
      <c r="Q991" s="11" t="n">
        <f aca="false">MIN(P991,'Tax Tables'!$B$31*'Tax Tables'!$B$32)</f>
        <v>96000</v>
      </c>
      <c r="R991" s="11" t="n">
        <f aca="false">P991-Q991</f>
        <v>393000</v>
      </c>
      <c r="S991" s="11" t="n">
        <f aca="false">IF(Calculator!$B$6="Yes",MIN(Q991,'Tax Tables'!$B$31*'Tax Tables'!$B$32),0)</f>
        <v>96000</v>
      </c>
      <c r="T991" s="11" t="n">
        <f aca="false">S991*Calculator!$B$7</f>
        <v>19200</v>
      </c>
      <c r="U991" s="11" t="n">
        <f aca="false">S991*Calculator!$B$8</f>
        <v>16320</v>
      </c>
      <c r="V991" s="11" t="n">
        <f aca="false">IF(Q991&gt;0,'Tax Tables'!$B$32*MIN(MAX(Q991/'Tax Tables'!$B$32*'Tax Tables'!$B$33,'Tax Tables'!$B$34),'Tax Tables'!$B$35),0)</f>
        <v>135</v>
      </c>
      <c r="W991" s="11" t="n">
        <f aca="false">Calculator!$B$5-P991-U991-V991</f>
        <v>-105455</v>
      </c>
      <c r="X991" s="11" t="n">
        <f aca="false">'Tax Tables'!$B$22*(MAX(W991,0)-IF(Calculator!$B$10="Yes",MIN(MAX(W991,0),'Tax Tables'!$B$27)*'Tax Tables'!$B$28+MIN(MAX(MAX(W991,0)-'Tax Tables'!$B$27,0),'Tax Tables'!$B$29)*'Tax Tables'!$B$30,MIN(MAX(W991,0),'Tax Tables'!$B$23)*'Tax Tables'!$B$24+MIN(MAX(MAX(W991,0)-'Tax Tables'!$B$23,0),'Tax Tables'!$B$25)*'Tax Tables'!$B$26))*1-MIN('Tax Tables'!$B$22*(MAX(W991,0)-IF(Calculator!$B$10="Yes",MIN(MAX(W991,0),'Tax Tables'!$B$27)*'Tax Tables'!$B$28+MIN(MAX(MAX(W991,0)-'Tax Tables'!$B$27,0),'Tax Tables'!$B$29)*'Tax Tables'!$B$30,MIN(MAX(W991,0),'Tax Tables'!$B$23)*'Tax Tables'!$B$24+MIN(MAX(MAX(W991,0)-'Tax Tables'!$B$23,0),'Tax Tables'!$B$25)*'Tax Tables'!$B$26))*Calculator!$B$11,Calculator!$B$12)</f>
        <v>0</v>
      </c>
      <c r="Y991" s="11" t="n">
        <f aca="false">MAX(W991,0)-X991</f>
        <v>0</v>
      </c>
      <c r="Z991" s="11" t="n">
        <f aca="false">MIN(IF(P991&gt;0,Calculator!$B$13,0)+T991+Calculator!$B$14,'Tax Tables'!$B$36)</f>
        <v>20200</v>
      </c>
      <c r="AA991" s="11" t="n">
        <f aca="false">MAX(P991-Z991,0)</f>
        <v>468800</v>
      </c>
      <c r="AB991" s="11" t="n">
        <f aca="false">SUMPRODUCT((AA991&gt;'Tax Tables'!$A$5:$A$17)*(AA991-'Tax Tables'!$A$5:$A$17)*'Tax Tables'!$C$5:$C$17)</f>
        <v>77286</v>
      </c>
      <c r="AC991" s="11" t="n">
        <f aca="false">IF(W991&lt;0,-1E+099,P991-T991-AB991+Y991+(T991+U991)*Calculator!$B$9)</f>
        <v>-1E+099</v>
      </c>
    </row>
    <row r="992" customFormat="false" ht="15" hidden="false" customHeight="false" outlineLevel="0" collapsed="false">
      <c r="A992" s="11" t="n">
        <f aca="false">979*$B$3</f>
        <v>489500</v>
      </c>
      <c r="B992" s="11" t="n">
        <f aca="false">0</f>
        <v>0</v>
      </c>
      <c r="C992" s="11" t="n">
        <f aca="false">A992-B992</f>
        <v>489500</v>
      </c>
      <c r="D992" s="11" t="n">
        <f aca="false">IF(Calculator!$B$6="Yes",MIN(B992,'Tax Tables'!$B$31*'Tax Tables'!$B$32),0)</f>
        <v>0</v>
      </c>
      <c r="E992" s="11" t="n">
        <f aca="false">D992*Calculator!$B$7</f>
        <v>0</v>
      </c>
      <c r="F992" s="11" t="n">
        <f aca="false">D992*Calculator!$B$8</f>
        <v>0</v>
      </c>
      <c r="G992" s="11" t="n">
        <f aca="false">IF(B992&gt;0,'Tax Tables'!$B$32*MIN(MAX(B992/'Tax Tables'!$B$32*'Tax Tables'!$B$33,'Tax Tables'!$B$34),'Tax Tables'!$B$35),0)</f>
        <v>0</v>
      </c>
      <c r="H992" s="11" t="n">
        <f aca="false">Calculator!$B$5-A992-F992-G992</f>
        <v>-89500</v>
      </c>
      <c r="I992" s="11" t="n">
        <f aca="false">'Tax Tables'!$B$22*(MAX(H992,0)-IF(Calculator!$B$10="Yes",MIN(MAX(H992,0),'Tax Tables'!$B$27)*'Tax Tables'!$B$28+MIN(MAX(MAX(H992,0)-'Tax Tables'!$B$27,0),'Tax Tables'!$B$29)*'Tax Tables'!$B$30,MIN(MAX(H992,0),'Tax Tables'!$B$23)*'Tax Tables'!$B$24+MIN(MAX(MAX(H992,0)-'Tax Tables'!$B$23,0),'Tax Tables'!$B$25)*'Tax Tables'!$B$26))*1-MIN('Tax Tables'!$B$22*(MAX(H992,0)-IF(Calculator!$B$10="Yes",MIN(MAX(H992,0),'Tax Tables'!$B$27)*'Tax Tables'!$B$28+MIN(MAX(MAX(H992,0)-'Tax Tables'!$B$27,0),'Tax Tables'!$B$29)*'Tax Tables'!$B$30,MIN(MAX(H992,0),'Tax Tables'!$B$23)*'Tax Tables'!$B$24+MIN(MAX(MAX(H992,0)-'Tax Tables'!$B$23,0),'Tax Tables'!$B$25)*'Tax Tables'!$B$26))*Calculator!$B$11,Calculator!$B$12)</f>
        <v>0</v>
      </c>
      <c r="J992" s="11" t="n">
        <f aca="false">MAX(H992,0)-I992</f>
        <v>0</v>
      </c>
      <c r="K992" s="11" t="n">
        <f aca="false">MIN(IF(A992&gt;0,Calculator!$B$13,0)+E992+Calculator!$B$14,'Tax Tables'!$B$36)</f>
        <v>1000</v>
      </c>
      <c r="L992" s="11" t="n">
        <f aca="false">MAX(A992-K992,0)</f>
        <v>488500</v>
      </c>
      <c r="M992" s="11" t="n">
        <f aca="false">SUMPRODUCT((L992&gt;'Tax Tables'!$A$5:$A$17)*(L992-'Tax Tables'!$A$5:$A$17)*'Tax Tables'!$C$5:$C$17)</f>
        <v>81620</v>
      </c>
      <c r="N992" s="11" t="n">
        <f aca="false">IF(H992&lt;0,-1E+099,A992-E992-M992+J992+(E992+F992)*Calculator!$B$9)</f>
        <v>-1E+099</v>
      </c>
      <c r="O992" s="2"/>
      <c r="P992" s="11" t="n">
        <f aca="false">979*$B$3</f>
        <v>489500</v>
      </c>
      <c r="Q992" s="11" t="n">
        <f aca="false">MIN(P992,'Tax Tables'!$B$31*'Tax Tables'!$B$32)</f>
        <v>96000</v>
      </c>
      <c r="R992" s="11" t="n">
        <f aca="false">P992-Q992</f>
        <v>393500</v>
      </c>
      <c r="S992" s="11" t="n">
        <f aca="false">IF(Calculator!$B$6="Yes",MIN(Q992,'Tax Tables'!$B$31*'Tax Tables'!$B$32),0)</f>
        <v>96000</v>
      </c>
      <c r="T992" s="11" t="n">
        <f aca="false">S992*Calculator!$B$7</f>
        <v>19200</v>
      </c>
      <c r="U992" s="11" t="n">
        <f aca="false">S992*Calculator!$B$8</f>
        <v>16320</v>
      </c>
      <c r="V992" s="11" t="n">
        <f aca="false">IF(Q992&gt;0,'Tax Tables'!$B$32*MIN(MAX(Q992/'Tax Tables'!$B$32*'Tax Tables'!$B$33,'Tax Tables'!$B$34),'Tax Tables'!$B$35),0)</f>
        <v>135</v>
      </c>
      <c r="W992" s="11" t="n">
        <f aca="false">Calculator!$B$5-P992-U992-V992</f>
        <v>-105955</v>
      </c>
      <c r="X992" s="11" t="n">
        <f aca="false">'Tax Tables'!$B$22*(MAX(W992,0)-IF(Calculator!$B$10="Yes",MIN(MAX(W992,0),'Tax Tables'!$B$27)*'Tax Tables'!$B$28+MIN(MAX(MAX(W992,0)-'Tax Tables'!$B$27,0),'Tax Tables'!$B$29)*'Tax Tables'!$B$30,MIN(MAX(W992,0),'Tax Tables'!$B$23)*'Tax Tables'!$B$24+MIN(MAX(MAX(W992,0)-'Tax Tables'!$B$23,0),'Tax Tables'!$B$25)*'Tax Tables'!$B$26))*1-MIN('Tax Tables'!$B$22*(MAX(W992,0)-IF(Calculator!$B$10="Yes",MIN(MAX(W992,0),'Tax Tables'!$B$27)*'Tax Tables'!$B$28+MIN(MAX(MAX(W992,0)-'Tax Tables'!$B$27,0),'Tax Tables'!$B$29)*'Tax Tables'!$B$30,MIN(MAX(W992,0),'Tax Tables'!$B$23)*'Tax Tables'!$B$24+MIN(MAX(MAX(W992,0)-'Tax Tables'!$B$23,0),'Tax Tables'!$B$25)*'Tax Tables'!$B$26))*Calculator!$B$11,Calculator!$B$12)</f>
        <v>0</v>
      </c>
      <c r="Y992" s="11" t="n">
        <f aca="false">MAX(W992,0)-X992</f>
        <v>0</v>
      </c>
      <c r="Z992" s="11" t="n">
        <f aca="false">MIN(IF(P992&gt;0,Calculator!$B$13,0)+T992+Calculator!$B$14,'Tax Tables'!$B$36)</f>
        <v>20200</v>
      </c>
      <c r="AA992" s="11" t="n">
        <f aca="false">MAX(P992-Z992,0)</f>
        <v>469300</v>
      </c>
      <c r="AB992" s="11" t="n">
        <f aca="false">SUMPRODUCT((AA992&gt;'Tax Tables'!$A$5:$A$17)*(AA992-'Tax Tables'!$A$5:$A$17)*'Tax Tables'!$C$5:$C$17)</f>
        <v>77396</v>
      </c>
      <c r="AC992" s="11" t="n">
        <f aca="false">IF(W992&lt;0,-1E+099,P992-T992-AB992+Y992+(T992+U992)*Calculator!$B$9)</f>
        <v>-1E+099</v>
      </c>
    </row>
    <row r="993" customFormat="false" ht="15" hidden="false" customHeight="false" outlineLevel="0" collapsed="false">
      <c r="A993" s="11" t="n">
        <f aca="false">980*$B$3</f>
        <v>490000</v>
      </c>
      <c r="B993" s="11" t="n">
        <f aca="false">0</f>
        <v>0</v>
      </c>
      <c r="C993" s="11" t="n">
        <f aca="false">A993-B993</f>
        <v>490000</v>
      </c>
      <c r="D993" s="11" t="n">
        <f aca="false">IF(Calculator!$B$6="Yes",MIN(B993,'Tax Tables'!$B$31*'Tax Tables'!$B$32),0)</f>
        <v>0</v>
      </c>
      <c r="E993" s="11" t="n">
        <f aca="false">D993*Calculator!$B$7</f>
        <v>0</v>
      </c>
      <c r="F993" s="11" t="n">
        <f aca="false">D993*Calculator!$B$8</f>
        <v>0</v>
      </c>
      <c r="G993" s="11" t="n">
        <f aca="false">IF(B993&gt;0,'Tax Tables'!$B$32*MIN(MAX(B993/'Tax Tables'!$B$32*'Tax Tables'!$B$33,'Tax Tables'!$B$34),'Tax Tables'!$B$35),0)</f>
        <v>0</v>
      </c>
      <c r="H993" s="11" t="n">
        <f aca="false">Calculator!$B$5-A993-F993-G993</f>
        <v>-90000</v>
      </c>
      <c r="I993" s="11" t="n">
        <f aca="false">'Tax Tables'!$B$22*(MAX(H993,0)-IF(Calculator!$B$10="Yes",MIN(MAX(H993,0),'Tax Tables'!$B$27)*'Tax Tables'!$B$28+MIN(MAX(MAX(H993,0)-'Tax Tables'!$B$27,0),'Tax Tables'!$B$29)*'Tax Tables'!$B$30,MIN(MAX(H993,0),'Tax Tables'!$B$23)*'Tax Tables'!$B$24+MIN(MAX(MAX(H993,0)-'Tax Tables'!$B$23,0),'Tax Tables'!$B$25)*'Tax Tables'!$B$26))*1-MIN('Tax Tables'!$B$22*(MAX(H993,0)-IF(Calculator!$B$10="Yes",MIN(MAX(H993,0),'Tax Tables'!$B$27)*'Tax Tables'!$B$28+MIN(MAX(MAX(H993,0)-'Tax Tables'!$B$27,0),'Tax Tables'!$B$29)*'Tax Tables'!$B$30,MIN(MAX(H993,0),'Tax Tables'!$B$23)*'Tax Tables'!$B$24+MIN(MAX(MAX(H993,0)-'Tax Tables'!$B$23,0),'Tax Tables'!$B$25)*'Tax Tables'!$B$26))*Calculator!$B$11,Calculator!$B$12)</f>
        <v>0</v>
      </c>
      <c r="J993" s="11" t="n">
        <f aca="false">MAX(H993,0)-I993</f>
        <v>0</v>
      </c>
      <c r="K993" s="11" t="n">
        <f aca="false">MIN(IF(A993&gt;0,Calculator!$B$13,0)+E993+Calculator!$B$14,'Tax Tables'!$B$36)</f>
        <v>1000</v>
      </c>
      <c r="L993" s="11" t="n">
        <f aca="false">MAX(A993-K993,0)</f>
        <v>489000</v>
      </c>
      <c r="M993" s="11" t="n">
        <f aca="false">SUMPRODUCT((L993&gt;'Tax Tables'!$A$5:$A$17)*(L993-'Tax Tables'!$A$5:$A$17)*'Tax Tables'!$C$5:$C$17)</f>
        <v>81730</v>
      </c>
      <c r="N993" s="11" t="n">
        <f aca="false">IF(H993&lt;0,-1E+099,A993-E993-M993+J993+(E993+F993)*Calculator!$B$9)</f>
        <v>-1E+099</v>
      </c>
      <c r="O993" s="2"/>
      <c r="P993" s="11" t="n">
        <f aca="false">980*$B$3</f>
        <v>490000</v>
      </c>
      <c r="Q993" s="11" t="n">
        <f aca="false">MIN(P993,'Tax Tables'!$B$31*'Tax Tables'!$B$32)</f>
        <v>96000</v>
      </c>
      <c r="R993" s="11" t="n">
        <f aca="false">P993-Q993</f>
        <v>394000</v>
      </c>
      <c r="S993" s="11" t="n">
        <f aca="false">IF(Calculator!$B$6="Yes",MIN(Q993,'Tax Tables'!$B$31*'Tax Tables'!$B$32),0)</f>
        <v>96000</v>
      </c>
      <c r="T993" s="11" t="n">
        <f aca="false">S993*Calculator!$B$7</f>
        <v>19200</v>
      </c>
      <c r="U993" s="11" t="n">
        <f aca="false">S993*Calculator!$B$8</f>
        <v>16320</v>
      </c>
      <c r="V993" s="11" t="n">
        <f aca="false">IF(Q993&gt;0,'Tax Tables'!$B$32*MIN(MAX(Q993/'Tax Tables'!$B$32*'Tax Tables'!$B$33,'Tax Tables'!$B$34),'Tax Tables'!$B$35),0)</f>
        <v>135</v>
      </c>
      <c r="W993" s="11" t="n">
        <f aca="false">Calculator!$B$5-P993-U993-V993</f>
        <v>-106455</v>
      </c>
      <c r="X993" s="11" t="n">
        <f aca="false">'Tax Tables'!$B$22*(MAX(W993,0)-IF(Calculator!$B$10="Yes",MIN(MAX(W993,0),'Tax Tables'!$B$27)*'Tax Tables'!$B$28+MIN(MAX(MAX(W993,0)-'Tax Tables'!$B$27,0),'Tax Tables'!$B$29)*'Tax Tables'!$B$30,MIN(MAX(W993,0),'Tax Tables'!$B$23)*'Tax Tables'!$B$24+MIN(MAX(MAX(W993,0)-'Tax Tables'!$B$23,0),'Tax Tables'!$B$25)*'Tax Tables'!$B$26))*1-MIN('Tax Tables'!$B$22*(MAX(W993,0)-IF(Calculator!$B$10="Yes",MIN(MAX(W993,0),'Tax Tables'!$B$27)*'Tax Tables'!$B$28+MIN(MAX(MAX(W993,0)-'Tax Tables'!$B$27,0),'Tax Tables'!$B$29)*'Tax Tables'!$B$30,MIN(MAX(W993,0),'Tax Tables'!$B$23)*'Tax Tables'!$B$24+MIN(MAX(MAX(W993,0)-'Tax Tables'!$B$23,0),'Tax Tables'!$B$25)*'Tax Tables'!$B$26))*Calculator!$B$11,Calculator!$B$12)</f>
        <v>0</v>
      </c>
      <c r="Y993" s="11" t="n">
        <f aca="false">MAX(W993,0)-X993</f>
        <v>0</v>
      </c>
      <c r="Z993" s="11" t="n">
        <f aca="false">MIN(IF(P993&gt;0,Calculator!$B$13,0)+T993+Calculator!$B$14,'Tax Tables'!$B$36)</f>
        <v>20200</v>
      </c>
      <c r="AA993" s="11" t="n">
        <f aca="false">MAX(P993-Z993,0)</f>
        <v>469800</v>
      </c>
      <c r="AB993" s="11" t="n">
        <f aca="false">SUMPRODUCT((AA993&gt;'Tax Tables'!$A$5:$A$17)*(AA993-'Tax Tables'!$A$5:$A$17)*'Tax Tables'!$C$5:$C$17)</f>
        <v>77506</v>
      </c>
      <c r="AC993" s="11" t="n">
        <f aca="false">IF(W993&lt;0,-1E+099,P993-T993-AB993+Y993+(T993+U993)*Calculator!$B$9)</f>
        <v>-1E+099</v>
      </c>
    </row>
    <row r="994" customFormat="false" ht="15" hidden="false" customHeight="false" outlineLevel="0" collapsed="false">
      <c r="A994" s="11" t="n">
        <f aca="false">981*$B$3</f>
        <v>490500</v>
      </c>
      <c r="B994" s="11" t="n">
        <f aca="false">0</f>
        <v>0</v>
      </c>
      <c r="C994" s="11" t="n">
        <f aca="false">A994-B994</f>
        <v>490500</v>
      </c>
      <c r="D994" s="11" t="n">
        <f aca="false">IF(Calculator!$B$6="Yes",MIN(B994,'Tax Tables'!$B$31*'Tax Tables'!$B$32),0)</f>
        <v>0</v>
      </c>
      <c r="E994" s="11" t="n">
        <f aca="false">D994*Calculator!$B$7</f>
        <v>0</v>
      </c>
      <c r="F994" s="11" t="n">
        <f aca="false">D994*Calculator!$B$8</f>
        <v>0</v>
      </c>
      <c r="G994" s="11" t="n">
        <f aca="false">IF(B994&gt;0,'Tax Tables'!$B$32*MIN(MAX(B994/'Tax Tables'!$B$32*'Tax Tables'!$B$33,'Tax Tables'!$B$34),'Tax Tables'!$B$35),0)</f>
        <v>0</v>
      </c>
      <c r="H994" s="11" t="n">
        <f aca="false">Calculator!$B$5-A994-F994-G994</f>
        <v>-90500</v>
      </c>
      <c r="I994" s="11" t="n">
        <f aca="false">'Tax Tables'!$B$22*(MAX(H994,0)-IF(Calculator!$B$10="Yes",MIN(MAX(H994,0),'Tax Tables'!$B$27)*'Tax Tables'!$B$28+MIN(MAX(MAX(H994,0)-'Tax Tables'!$B$27,0),'Tax Tables'!$B$29)*'Tax Tables'!$B$30,MIN(MAX(H994,0),'Tax Tables'!$B$23)*'Tax Tables'!$B$24+MIN(MAX(MAX(H994,0)-'Tax Tables'!$B$23,0),'Tax Tables'!$B$25)*'Tax Tables'!$B$26))*1-MIN('Tax Tables'!$B$22*(MAX(H994,0)-IF(Calculator!$B$10="Yes",MIN(MAX(H994,0),'Tax Tables'!$B$27)*'Tax Tables'!$B$28+MIN(MAX(MAX(H994,0)-'Tax Tables'!$B$27,0),'Tax Tables'!$B$29)*'Tax Tables'!$B$30,MIN(MAX(H994,0),'Tax Tables'!$B$23)*'Tax Tables'!$B$24+MIN(MAX(MAX(H994,0)-'Tax Tables'!$B$23,0),'Tax Tables'!$B$25)*'Tax Tables'!$B$26))*Calculator!$B$11,Calculator!$B$12)</f>
        <v>0</v>
      </c>
      <c r="J994" s="11" t="n">
        <f aca="false">MAX(H994,0)-I994</f>
        <v>0</v>
      </c>
      <c r="K994" s="11" t="n">
        <f aca="false">MIN(IF(A994&gt;0,Calculator!$B$13,0)+E994+Calculator!$B$14,'Tax Tables'!$B$36)</f>
        <v>1000</v>
      </c>
      <c r="L994" s="11" t="n">
        <f aca="false">MAX(A994-K994,0)</f>
        <v>489500</v>
      </c>
      <c r="M994" s="11" t="n">
        <f aca="false">SUMPRODUCT((L994&gt;'Tax Tables'!$A$5:$A$17)*(L994-'Tax Tables'!$A$5:$A$17)*'Tax Tables'!$C$5:$C$17)</f>
        <v>81840</v>
      </c>
      <c r="N994" s="11" t="n">
        <f aca="false">IF(H994&lt;0,-1E+099,A994-E994-M994+J994+(E994+F994)*Calculator!$B$9)</f>
        <v>-1E+099</v>
      </c>
      <c r="O994" s="2"/>
      <c r="P994" s="11" t="n">
        <f aca="false">981*$B$3</f>
        <v>490500</v>
      </c>
      <c r="Q994" s="11" t="n">
        <f aca="false">MIN(P994,'Tax Tables'!$B$31*'Tax Tables'!$B$32)</f>
        <v>96000</v>
      </c>
      <c r="R994" s="11" t="n">
        <f aca="false">P994-Q994</f>
        <v>394500</v>
      </c>
      <c r="S994" s="11" t="n">
        <f aca="false">IF(Calculator!$B$6="Yes",MIN(Q994,'Tax Tables'!$B$31*'Tax Tables'!$B$32),0)</f>
        <v>96000</v>
      </c>
      <c r="T994" s="11" t="n">
        <f aca="false">S994*Calculator!$B$7</f>
        <v>19200</v>
      </c>
      <c r="U994" s="11" t="n">
        <f aca="false">S994*Calculator!$B$8</f>
        <v>16320</v>
      </c>
      <c r="V994" s="11" t="n">
        <f aca="false">IF(Q994&gt;0,'Tax Tables'!$B$32*MIN(MAX(Q994/'Tax Tables'!$B$32*'Tax Tables'!$B$33,'Tax Tables'!$B$34),'Tax Tables'!$B$35),0)</f>
        <v>135</v>
      </c>
      <c r="W994" s="11" t="n">
        <f aca="false">Calculator!$B$5-P994-U994-V994</f>
        <v>-106955</v>
      </c>
      <c r="X994" s="11" t="n">
        <f aca="false">'Tax Tables'!$B$22*(MAX(W994,0)-IF(Calculator!$B$10="Yes",MIN(MAX(W994,0),'Tax Tables'!$B$27)*'Tax Tables'!$B$28+MIN(MAX(MAX(W994,0)-'Tax Tables'!$B$27,0),'Tax Tables'!$B$29)*'Tax Tables'!$B$30,MIN(MAX(W994,0),'Tax Tables'!$B$23)*'Tax Tables'!$B$24+MIN(MAX(MAX(W994,0)-'Tax Tables'!$B$23,0),'Tax Tables'!$B$25)*'Tax Tables'!$B$26))*1-MIN('Tax Tables'!$B$22*(MAX(W994,0)-IF(Calculator!$B$10="Yes",MIN(MAX(W994,0),'Tax Tables'!$B$27)*'Tax Tables'!$B$28+MIN(MAX(MAX(W994,0)-'Tax Tables'!$B$27,0),'Tax Tables'!$B$29)*'Tax Tables'!$B$30,MIN(MAX(W994,0),'Tax Tables'!$B$23)*'Tax Tables'!$B$24+MIN(MAX(MAX(W994,0)-'Tax Tables'!$B$23,0),'Tax Tables'!$B$25)*'Tax Tables'!$B$26))*Calculator!$B$11,Calculator!$B$12)</f>
        <v>0</v>
      </c>
      <c r="Y994" s="11" t="n">
        <f aca="false">MAX(W994,0)-X994</f>
        <v>0</v>
      </c>
      <c r="Z994" s="11" t="n">
        <f aca="false">MIN(IF(P994&gt;0,Calculator!$B$13,0)+T994+Calculator!$B$14,'Tax Tables'!$B$36)</f>
        <v>20200</v>
      </c>
      <c r="AA994" s="11" t="n">
        <f aca="false">MAX(P994-Z994,0)</f>
        <v>470300</v>
      </c>
      <c r="AB994" s="11" t="n">
        <f aca="false">SUMPRODUCT((AA994&gt;'Tax Tables'!$A$5:$A$17)*(AA994-'Tax Tables'!$A$5:$A$17)*'Tax Tables'!$C$5:$C$17)</f>
        <v>77616</v>
      </c>
      <c r="AC994" s="11" t="n">
        <f aca="false">IF(W994&lt;0,-1E+099,P994-T994-AB994+Y994+(T994+U994)*Calculator!$B$9)</f>
        <v>-1E+099</v>
      </c>
    </row>
    <row r="995" customFormat="false" ht="15" hidden="false" customHeight="false" outlineLevel="0" collapsed="false">
      <c r="A995" s="11" t="n">
        <f aca="false">982*$B$3</f>
        <v>491000</v>
      </c>
      <c r="B995" s="11" t="n">
        <f aca="false">0</f>
        <v>0</v>
      </c>
      <c r="C995" s="11" t="n">
        <f aca="false">A995-B995</f>
        <v>491000</v>
      </c>
      <c r="D995" s="11" t="n">
        <f aca="false">IF(Calculator!$B$6="Yes",MIN(B995,'Tax Tables'!$B$31*'Tax Tables'!$B$32),0)</f>
        <v>0</v>
      </c>
      <c r="E995" s="11" t="n">
        <f aca="false">D995*Calculator!$B$7</f>
        <v>0</v>
      </c>
      <c r="F995" s="11" t="n">
        <f aca="false">D995*Calculator!$B$8</f>
        <v>0</v>
      </c>
      <c r="G995" s="11" t="n">
        <f aca="false">IF(B995&gt;0,'Tax Tables'!$B$32*MIN(MAX(B995/'Tax Tables'!$B$32*'Tax Tables'!$B$33,'Tax Tables'!$B$34),'Tax Tables'!$B$35),0)</f>
        <v>0</v>
      </c>
      <c r="H995" s="11" t="n">
        <f aca="false">Calculator!$B$5-A995-F995-G995</f>
        <v>-91000</v>
      </c>
      <c r="I995" s="11" t="n">
        <f aca="false">'Tax Tables'!$B$22*(MAX(H995,0)-IF(Calculator!$B$10="Yes",MIN(MAX(H995,0),'Tax Tables'!$B$27)*'Tax Tables'!$B$28+MIN(MAX(MAX(H995,0)-'Tax Tables'!$B$27,0),'Tax Tables'!$B$29)*'Tax Tables'!$B$30,MIN(MAX(H995,0),'Tax Tables'!$B$23)*'Tax Tables'!$B$24+MIN(MAX(MAX(H995,0)-'Tax Tables'!$B$23,0),'Tax Tables'!$B$25)*'Tax Tables'!$B$26))*1-MIN('Tax Tables'!$B$22*(MAX(H995,0)-IF(Calculator!$B$10="Yes",MIN(MAX(H995,0),'Tax Tables'!$B$27)*'Tax Tables'!$B$28+MIN(MAX(MAX(H995,0)-'Tax Tables'!$B$27,0),'Tax Tables'!$B$29)*'Tax Tables'!$B$30,MIN(MAX(H995,0),'Tax Tables'!$B$23)*'Tax Tables'!$B$24+MIN(MAX(MAX(H995,0)-'Tax Tables'!$B$23,0),'Tax Tables'!$B$25)*'Tax Tables'!$B$26))*Calculator!$B$11,Calculator!$B$12)</f>
        <v>0</v>
      </c>
      <c r="J995" s="11" t="n">
        <f aca="false">MAX(H995,0)-I995</f>
        <v>0</v>
      </c>
      <c r="K995" s="11" t="n">
        <f aca="false">MIN(IF(A995&gt;0,Calculator!$B$13,0)+E995+Calculator!$B$14,'Tax Tables'!$B$36)</f>
        <v>1000</v>
      </c>
      <c r="L995" s="11" t="n">
        <f aca="false">MAX(A995-K995,0)</f>
        <v>490000</v>
      </c>
      <c r="M995" s="11" t="n">
        <f aca="false">SUMPRODUCT((L995&gt;'Tax Tables'!$A$5:$A$17)*(L995-'Tax Tables'!$A$5:$A$17)*'Tax Tables'!$C$5:$C$17)</f>
        <v>81950</v>
      </c>
      <c r="N995" s="11" t="n">
        <f aca="false">IF(H995&lt;0,-1E+099,A995-E995-M995+J995+(E995+F995)*Calculator!$B$9)</f>
        <v>-1E+099</v>
      </c>
      <c r="O995" s="2"/>
      <c r="P995" s="11" t="n">
        <f aca="false">982*$B$3</f>
        <v>491000</v>
      </c>
      <c r="Q995" s="11" t="n">
        <f aca="false">MIN(P995,'Tax Tables'!$B$31*'Tax Tables'!$B$32)</f>
        <v>96000</v>
      </c>
      <c r="R995" s="11" t="n">
        <f aca="false">P995-Q995</f>
        <v>395000</v>
      </c>
      <c r="S995" s="11" t="n">
        <f aca="false">IF(Calculator!$B$6="Yes",MIN(Q995,'Tax Tables'!$B$31*'Tax Tables'!$B$32),0)</f>
        <v>96000</v>
      </c>
      <c r="T995" s="11" t="n">
        <f aca="false">S995*Calculator!$B$7</f>
        <v>19200</v>
      </c>
      <c r="U995" s="11" t="n">
        <f aca="false">S995*Calculator!$B$8</f>
        <v>16320</v>
      </c>
      <c r="V995" s="11" t="n">
        <f aca="false">IF(Q995&gt;0,'Tax Tables'!$B$32*MIN(MAX(Q995/'Tax Tables'!$B$32*'Tax Tables'!$B$33,'Tax Tables'!$B$34),'Tax Tables'!$B$35),0)</f>
        <v>135</v>
      </c>
      <c r="W995" s="11" t="n">
        <f aca="false">Calculator!$B$5-P995-U995-V995</f>
        <v>-107455</v>
      </c>
      <c r="X995" s="11" t="n">
        <f aca="false">'Tax Tables'!$B$22*(MAX(W995,0)-IF(Calculator!$B$10="Yes",MIN(MAX(W995,0),'Tax Tables'!$B$27)*'Tax Tables'!$B$28+MIN(MAX(MAX(W995,0)-'Tax Tables'!$B$27,0),'Tax Tables'!$B$29)*'Tax Tables'!$B$30,MIN(MAX(W995,0),'Tax Tables'!$B$23)*'Tax Tables'!$B$24+MIN(MAX(MAX(W995,0)-'Tax Tables'!$B$23,0),'Tax Tables'!$B$25)*'Tax Tables'!$B$26))*1-MIN('Tax Tables'!$B$22*(MAX(W995,0)-IF(Calculator!$B$10="Yes",MIN(MAX(W995,0),'Tax Tables'!$B$27)*'Tax Tables'!$B$28+MIN(MAX(MAX(W995,0)-'Tax Tables'!$B$27,0),'Tax Tables'!$B$29)*'Tax Tables'!$B$30,MIN(MAX(W995,0),'Tax Tables'!$B$23)*'Tax Tables'!$B$24+MIN(MAX(MAX(W995,0)-'Tax Tables'!$B$23,0),'Tax Tables'!$B$25)*'Tax Tables'!$B$26))*Calculator!$B$11,Calculator!$B$12)</f>
        <v>0</v>
      </c>
      <c r="Y995" s="11" t="n">
        <f aca="false">MAX(W995,0)-X995</f>
        <v>0</v>
      </c>
      <c r="Z995" s="11" t="n">
        <f aca="false">MIN(IF(P995&gt;0,Calculator!$B$13,0)+T995+Calculator!$B$14,'Tax Tables'!$B$36)</f>
        <v>20200</v>
      </c>
      <c r="AA995" s="11" t="n">
        <f aca="false">MAX(P995-Z995,0)</f>
        <v>470800</v>
      </c>
      <c r="AB995" s="11" t="n">
        <f aca="false">SUMPRODUCT((AA995&gt;'Tax Tables'!$A$5:$A$17)*(AA995-'Tax Tables'!$A$5:$A$17)*'Tax Tables'!$C$5:$C$17)</f>
        <v>77726</v>
      </c>
      <c r="AC995" s="11" t="n">
        <f aca="false">IF(W995&lt;0,-1E+099,P995-T995-AB995+Y995+(T995+U995)*Calculator!$B$9)</f>
        <v>-1E+099</v>
      </c>
    </row>
    <row r="996" customFormat="false" ht="15" hidden="false" customHeight="false" outlineLevel="0" collapsed="false">
      <c r="A996" s="11" t="n">
        <f aca="false">983*$B$3</f>
        <v>491500</v>
      </c>
      <c r="B996" s="11" t="n">
        <f aca="false">0</f>
        <v>0</v>
      </c>
      <c r="C996" s="11" t="n">
        <f aca="false">A996-B996</f>
        <v>491500</v>
      </c>
      <c r="D996" s="11" t="n">
        <f aca="false">IF(Calculator!$B$6="Yes",MIN(B996,'Tax Tables'!$B$31*'Tax Tables'!$B$32),0)</f>
        <v>0</v>
      </c>
      <c r="E996" s="11" t="n">
        <f aca="false">D996*Calculator!$B$7</f>
        <v>0</v>
      </c>
      <c r="F996" s="11" t="n">
        <f aca="false">D996*Calculator!$B$8</f>
        <v>0</v>
      </c>
      <c r="G996" s="11" t="n">
        <f aca="false">IF(B996&gt;0,'Tax Tables'!$B$32*MIN(MAX(B996/'Tax Tables'!$B$32*'Tax Tables'!$B$33,'Tax Tables'!$B$34),'Tax Tables'!$B$35),0)</f>
        <v>0</v>
      </c>
      <c r="H996" s="11" t="n">
        <f aca="false">Calculator!$B$5-A996-F996-G996</f>
        <v>-91500</v>
      </c>
      <c r="I996" s="11" t="n">
        <f aca="false">'Tax Tables'!$B$22*(MAX(H996,0)-IF(Calculator!$B$10="Yes",MIN(MAX(H996,0),'Tax Tables'!$B$27)*'Tax Tables'!$B$28+MIN(MAX(MAX(H996,0)-'Tax Tables'!$B$27,0),'Tax Tables'!$B$29)*'Tax Tables'!$B$30,MIN(MAX(H996,0),'Tax Tables'!$B$23)*'Tax Tables'!$B$24+MIN(MAX(MAX(H996,0)-'Tax Tables'!$B$23,0),'Tax Tables'!$B$25)*'Tax Tables'!$B$26))*1-MIN('Tax Tables'!$B$22*(MAX(H996,0)-IF(Calculator!$B$10="Yes",MIN(MAX(H996,0),'Tax Tables'!$B$27)*'Tax Tables'!$B$28+MIN(MAX(MAX(H996,0)-'Tax Tables'!$B$27,0),'Tax Tables'!$B$29)*'Tax Tables'!$B$30,MIN(MAX(H996,0),'Tax Tables'!$B$23)*'Tax Tables'!$B$24+MIN(MAX(MAX(H996,0)-'Tax Tables'!$B$23,0),'Tax Tables'!$B$25)*'Tax Tables'!$B$26))*Calculator!$B$11,Calculator!$B$12)</f>
        <v>0</v>
      </c>
      <c r="J996" s="11" t="n">
        <f aca="false">MAX(H996,0)-I996</f>
        <v>0</v>
      </c>
      <c r="K996" s="11" t="n">
        <f aca="false">MIN(IF(A996&gt;0,Calculator!$B$13,0)+E996+Calculator!$B$14,'Tax Tables'!$B$36)</f>
        <v>1000</v>
      </c>
      <c r="L996" s="11" t="n">
        <f aca="false">MAX(A996-K996,0)</f>
        <v>490500</v>
      </c>
      <c r="M996" s="11" t="n">
        <f aca="false">SUMPRODUCT((L996&gt;'Tax Tables'!$A$5:$A$17)*(L996-'Tax Tables'!$A$5:$A$17)*'Tax Tables'!$C$5:$C$17)</f>
        <v>82060</v>
      </c>
      <c r="N996" s="11" t="n">
        <f aca="false">IF(H996&lt;0,-1E+099,A996-E996-M996+J996+(E996+F996)*Calculator!$B$9)</f>
        <v>-1E+099</v>
      </c>
      <c r="O996" s="2"/>
      <c r="P996" s="11" t="n">
        <f aca="false">983*$B$3</f>
        <v>491500</v>
      </c>
      <c r="Q996" s="11" t="n">
        <f aca="false">MIN(P996,'Tax Tables'!$B$31*'Tax Tables'!$B$32)</f>
        <v>96000</v>
      </c>
      <c r="R996" s="11" t="n">
        <f aca="false">P996-Q996</f>
        <v>395500</v>
      </c>
      <c r="S996" s="11" t="n">
        <f aca="false">IF(Calculator!$B$6="Yes",MIN(Q996,'Tax Tables'!$B$31*'Tax Tables'!$B$32),0)</f>
        <v>96000</v>
      </c>
      <c r="T996" s="11" t="n">
        <f aca="false">S996*Calculator!$B$7</f>
        <v>19200</v>
      </c>
      <c r="U996" s="11" t="n">
        <f aca="false">S996*Calculator!$B$8</f>
        <v>16320</v>
      </c>
      <c r="V996" s="11" t="n">
        <f aca="false">IF(Q996&gt;0,'Tax Tables'!$B$32*MIN(MAX(Q996/'Tax Tables'!$B$32*'Tax Tables'!$B$33,'Tax Tables'!$B$34),'Tax Tables'!$B$35),0)</f>
        <v>135</v>
      </c>
      <c r="W996" s="11" t="n">
        <f aca="false">Calculator!$B$5-P996-U996-V996</f>
        <v>-107955</v>
      </c>
      <c r="X996" s="11" t="n">
        <f aca="false">'Tax Tables'!$B$22*(MAX(W996,0)-IF(Calculator!$B$10="Yes",MIN(MAX(W996,0),'Tax Tables'!$B$27)*'Tax Tables'!$B$28+MIN(MAX(MAX(W996,0)-'Tax Tables'!$B$27,0),'Tax Tables'!$B$29)*'Tax Tables'!$B$30,MIN(MAX(W996,0),'Tax Tables'!$B$23)*'Tax Tables'!$B$24+MIN(MAX(MAX(W996,0)-'Tax Tables'!$B$23,0),'Tax Tables'!$B$25)*'Tax Tables'!$B$26))*1-MIN('Tax Tables'!$B$22*(MAX(W996,0)-IF(Calculator!$B$10="Yes",MIN(MAX(W996,0),'Tax Tables'!$B$27)*'Tax Tables'!$B$28+MIN(MAX(MAX(W996,0)-'Tax Tables'!$B$27,0),'Tax Tables'!$B$29)*'Tax Tables'!$B$30,MIN(MAX(W996,0),'Tax Tables'!$B$23)*'Tax Tables'!$B$24+MIN(MAX(MAX(W996,0)-'Tax Tables'!$B$23,0),'Tax Tables'!$B$25)*'Tax Tables'!$B$26))*Calculator!$B$11,Calculator!$B$12)</f>
        <v>0</v>
      </c>
      <c r="Y996" s="11" t="n">
        <f aca="false">MAX(W996,0)-X996</f>
        <v>0</v>
      </c>
      <c r="Z996" s="11" t="n">
        <f aca="false">MIN(IF(P996&gt;0,Calculator!$B$13,0)+T996+Calculator!$B$14,'Tax Tables'!$B$36)</f>
        <v>20200</v>
      </c>
      <c r="AA996" s="11" t="n">
        <f aca="false">MAX(P996-Z996,0)</f>
        <v>471300</v>
      </c>
      <c r="AB996" s="11" t="n">
        <f aca="false">SUMPRODUCT((AA996&gt;'Tax Tables'!$A$5:$A$17)*(AA996-'Tax Tables'!$A$5:$A$17)*'Tax Tables'!$C$5:$C$17)</f>
        <v>77836</v>
      </c>
      <c r="AC996" s="11" t="n">
        <f aca="false">IF(W996&lt;0,-1E+099,P996-T996-AB996+Y996+(T996+U996)*Calculator!$B$9)</f>
        <v>-1E+099</v>
      </c>
    </row>
    <row r="997" customFormat="false" ht="15" hidden="false" customHeight="false" outlineLevel="0" collapsed="false">
      <c r="A997" s="11" t="n">
        <f aca="false">984*$B$3</f>
        <v>492000</v>
      </c>
      <c r="B997" s="11" t="n">
        <f aca="false">0</f>
        <v>0</v>
      </c>
      <c r="C997" s="11" t="n">
        <f aca="false">A997-B997</f>
        <v>492000</v>
      </c>
      <c r="D997" s="11" t="n">
        <f aca="false">IF(Calculator!$B$6="Yes",MIN(B997,'Tax Tables'!$B$31*'Tax Tables'!$B$32),0)</f>
        <v>0</v>
      </c>
      <c r="E997" s="11" t="n">
        <f aca="false">D997*Calculator!$B$7</f>
        <v>0</v>
      </c>
      <c r="F997" s="11" t="n">
        <f aca="false">D997*Calculator!$B$8</f>
        <v>0</v>
      </c>
      <c r="G997" s="11" t="n">
        <f aca="false">IF(B997&gt;0,'Tax Tables'!$B$32*MIN(MAX(B997/'Tax Tables'!$B$32*'Tax Tables'!$B$33,'Tax Tables'!$B$34),'Tax Tables'!$B$35),0)</f>
        <v>0</v>
      </c>
      <c r="H997" s="11" t="n">
        <f aca="false">Calculator!$B$5-A997-F997-G997</f>
        <v>-92000</v>
      </c>
      <c r="I997" s="11" t="n">
        <f aca="false">'Tax Tables'!$B$22*(MAX(H997,0)-IF(Calculator!$B$10="Yes",MIN(MAX(H997,0),'Tax Tables'!$B$27)*'Tax Tables'!$B$28+MIN(MAX(MAX(H997,0)-'Tax Tables'!$B$27,0),'Tax Tables'!$B$29)*'Tax Tables'!$B$30,MIN(MAX(H997,0),'Tax Tables'!$B$23)*'Tax Tables'!$B$24+MIN(MAX(MAX(H997,0)-'Tax Tables'!$B$23,0),'Tax Tables'!$B$25)*'Tax Tables'!$B$26))*1-MIN('Tax Tables'!$B$22*(MAX(H997,0)-IF(Calculator!$B$10="Yes",MIN(MAX(H997,0),'Tax Tables'!$B$27)*'Tax Tables'!$B$28+MIN(MAX(MAX(H997,0)-'Tax Tables'!$B$27,0),'Tax Tables'!$B$29)*'Tax Tables'!$B$30,MIN(MAX(H997,0),'Tax Tables'!$B$23)*'Tax Tables'!$B$24+MIN(MAX(MAX(H997,0)-'Tax Tables'!$B$23,0),'Tax Tables'!$B$25)*'Tax Tables'!$B$26))*Calculator!$B$11,Calculator!$B$12)</f>
        <v>0</v>
      </c>
      <c r="J997" s="11" t="n">
        <f aca="false">MAX(H997,0)-I997</f>
        <v>0</v>
      </c>
      <c r="K997" s="11" t="n">
        <f aca="false">MIN(IF(A997&gt;0,Calculator!$B$13,0)+E997+Calculator!$B$14,'Tax Tables'!$B$36)</f>
        <v>1000</v>
      </c>
      <c r="L997" s="11" t="n">
        <f aca="false">MAX(A997-K997,0)</f>
        <v>491000</v>
      </c>
      <c r="M997" s="11" t="n">
        <f aca="false">SUMPRODUCT((L997&gt;'Tax Tables'!$A$5:$A$17)*(L997-'Tax Tables'!$A$5:$A$17)*'Tax Tables'!$C$5:$C$17)</f>
        <v>82170</v>
      </c>
      <c r="N997" s="11" t="n">
        <f aca="false">IF(H997&lt;0,-1E+099,A997-E997-M997+J997+(E997+F997)*Calculator!$B$9)</f>
        <v>-1E+099</v>
      </c>
      <c r="O997" s="2"/>
      <c r="P997" s="11" t="n">
        <f aca="false">984*$B$3</f>
        <v>492000</v>
      </c>
      <c r="Q997" s="11" t="n">
        <f aca="false">MIN(P997,'Tax Tables'!$B$31*'Tax Tables'!$B$32)</f>
        <v>96000</v>
      </c>
      <c r="R997" s="11" t="n">
        <f aca="false">P997-Q997</f>
        <v>396000</v>
      </c>
      <c r="S997" s="11" t="n">
        <f aca="false">IF(Calculator!$B$6="Yes",MIN(Q997,'Tax Tables'!$B$31*'Tax Tables'!$B$32),0)</f>
        <v>96000</v>
      </c>
      <c r="T997" s="11" t="n">
        <f aca="false">S997*Calculator!$B$7</f>
        <v>19200</v>
      </c>
      <c r="U997" s="11" t="n">
        <f aca="false">S997*Calculator!$B$8</f>
        <v>16320</v>
      </c>
      <c r="V997" s="11" t="n">
        <f aca="false">IF(Q997&gt;0,'Tax Tables'!$B$32*MIN(MAX(Q997/'Tax Tables'!$B$32*'Tax Tables'!$B$33,'Tax Tables'!$B$34),'Tax Tables'!$B$35),0)</f>
        <v>135</v>
      </c>
      <c r="W997" s="11" t="n">
        <f aca="false">Calculator!$B$5-P997-U997-V997</f>
        <v>-108455</v>
      </c>
      <c r="X997" s="11" t="n">
        <f aca="false">'Tax Tables'!$B$22*(MAX(W997,0)-IF(Calculator!$B$10="Yes",MIN(MAX(W997,0),'Tax Tables'!$B$27)*'Tax Tables'!$B$28+MIN(MAX(MAX(W997,0)-'Tax Tables'!$B$27,0),'Tax Tables'!$B$29)*'Tax Tables'!$B$30,MIN(MAX(W997,0),'Tax Tables'!$B$23)*'Tax Tables'!$B$24+MIN(MAX(MAX(W997,0)-'Tax Tables'!$B$23,0),'Tax Tables'!$B$25)*'Tax Tables'!$B$26))*1-MIN('Tax Tables'!$B$22*(MAX(W997,0)-IF(Calculator!$B$10="Yes",MIN(MAX(W997,0),'Tax Tables'!$B$27)*'Tax Tables'!$B$28+MIN(MAX(MAX(W997,0)-'Tax Tables'!$B$27,0),'Tax Tables'!$B$29)*'Tax Tables'!$B$30,MIN(MAX(W997,0),'Tax Tables'!$B$23)*'Tax Tables'!$B$24+MIN(MAX(MAX(W997,0)-'Tax Tables'!$B$23,0),'Tax Tables'!$B$25)*'Tax Tables'!$B$26))*Calculator!$B$11,Calculator!$B$12)</f>
        <v>0</v>
      </c>
      <c r="Y997" s="11" t="n">
        <f aca="false">MAX(W997,0)-X997</f>
        <v>0</v>
      </c>
      <c r="Z997" s="11" t="n">
        <f aca="false">MIN(IF(P997&gt;0,Calculator!$B$13,0)+T997+Calculator!$B$14,'Tax Tables'!$B$36)</f>
        <v>20200</v>
      </c>
      <c r="AA997" s="11" t="n">
        <f aca="false">MAX(P997-Z997,0)</f>
        <v>471800</v>
      </c>
      <c r="AB997" s="11" t="n">
        <f aca="false">SUMPRODUCT((AA997&gt;'Tax Tables'!$A$5:$A$17)*(AA997-'Tax Tables'!$A$5:$A$17)*'Tax Tables'!$C$5:$C$17)</f>
        <v>77946</v>
      </c>
      <c r="AC997" s="11" t="n">
        <f aca="false">IF(W997&lt;0,-1E+099,P997-T997-AB997+Y997+(T997+U997)*Calculator!$B$9)</f>
        <v>-1E+099</v>
      </c>
    </row>
    <row r="998" customFormat="false" ht="15" hidden="false" customHeight="false" outlineLevel="0" collapsed="false">
      <c r="A998" s="11" t="n">
        <f aca="false">985*$B$3</f>
        <v>492500</v>
      </c>
      <c r="B998" s="11" t="n">
        <f aca="false">0</f>
        <v>0</v>
      </c>
      <c r="C998" s="11" t="n">
        <f aca="false">A998-B998</f>
        <v>492500</v>
      </c>
      <c r="D998" s="11" t="n">
        <f aca="false">IF(Calculator!$B$6="Yes",MIN(B998,'Tax Tables'!$B$31*'Tax Tables'!$B$32),0)</f>
        <v>0</v>
      </c>
      <c r="E998" s="11" t="n">
        <f aca="false">D998*Calculator!$B$7</f>
        <v>0</v>
      </c>
      <c r="F998" s="11" t="n">
        <f aca="false">D998*Calculator!$B$8</f>
        <v>0</v>
      </c>
      <c r="G998" s="11" t="n">
        <f aca="false">IF(B998&gt;0,'Tax Tables'!$B$32*MIN(MAX(B998/'Tax Tables'!$B$32*'Tax Tables'!$B$33,'Tax Tables'!$B$34),'Tax Tables'!$B$35),0)</f>
        <v>0</v>
      </c>
      <c r="H998" s="11" t="n">
        <f aca="false">Calculator!$B$5-A998-F998-G998</f>
        <v>-92500</v>
      </c>
      <c r="I998" s="11" t="n">
        <f aca="false">'Tax Tables'!$B$22*(MAX(H998,0)-IF(Calculator!$B$10="Yes",MIN(MAX(H998,0),'Tax Tables'!$B$27)*'Tax Tables'!$B$28+MIN(MAX(MAX(H998,0)-'Tax Tables'!$B$27,0),'Tax Tables'!$B$29)*'Tax Tables'!$B$30,MIN(MAX(H998,0),'Tax Tables'!$B$23)*'Tax Tables'!$B$24+MIN(MAX(MAX(H998,0)-'Tax Tables'!$B$23,0),'Tax Tables'!$B$25)*'Tax Tables'!$B$26))*1-MIN('Tax Tables'!$B$22*(MAX(H998,0)-IF(Calculator!$B$10="Yes",MIN(MAX(H998,0),'Tax Tables'!$B$27)*'Tax Tables'!$B$28+MIN(MAX(MAX(H998,0)-'Tax Tables'!$B$27,0),'Tax Tables'!$B$29)*'Tax Tables'!$B$30,MIN(MAX(H998,0),'Tax Tables'!$B$23)*'Tax Tables'!$B$24+MIN(MAX(MAX(H998,0)-'Tax Tables'!$B$23,0),'Tax Tables'!$B$25)*'Tax Tables'!$B$26))*Calculator!$B$11,Calculator!$B$12)</f>
        <v>0</v>
      </c>
      <c r="J998" s="11" t="n">
        <f aca="false">MAX(H998,0)-I998</f>
        <v>0</v>
      </c>
      <c r="K998" s="11" t="n">
        <f aca="false">MIN(IF(A998&gt;0,Calculator!$B$13,0)+E998+Calculator!$B$14,'Tax Tables'!$B$36)</f>
        <v>1000</v>
      </c>
      <c r="L998" s="11" t="n">
        <f aca="false">MAX(A998-K998,0)</f>
        <v>491500</v>
      </c>
      <c r="M998" s="11" t="n">
        <f aca="false">SUMPRODUCT((L998&gt;'Tax Tables'!$A$5:$A$17)*(L998-'Tax Tables'!$A$5:$A$17)*'Tax Tables'!$C$5:$C$17)</f>
        <v>82280</v>
      </c>
      <c r="N998" s="11" t="n">
        <f aca="false">IF(H998&lt;0,-1E+099,A998-E998-M998+J998+(E998+F998)*Calculator!$B$9)</f>
        <v>-1E+099</v>
      </c>
      <c r="O998" s="2"/>
      <c r="P998" s="11" t="n">
        <f aca="false">985*$B$3</f>
        <v>492500</v>
      </c>
      <c r="Q998" s="11" t="n">
        <f aca="false">MIN(P998,'Tax Tables'!$B$31*'Tax Tables'!$B$32)</f>
        <v>96000</v>
      </c>
      <c r="R998" s="11" t="n">
        <f aca="false">P998-Q998</f>
        <v>396500</v>
      </c>
      <c r="S998" s="11" t="n">
        <f aca="false">IF(Calculator!$B$6="Yes",MIN(Q998,'Tax Tables'!$B$31*'Tax Tables'!$B$32),0)</f>
        <v>96000</v>
      </c>
      <c r="T998" s="11" t="n">
        <f aca="false">S998*Calculator!$B$7</f>
        <v>19200</v>
      </c>
      <c r="U998" s="11" t="n">
        <f aca="false">S998*Calculator!$B$8</f>
        <v>16320</v>
      </c>
      <c r="V998" s="11" t="n">
        <f aca="false">IF(Q998&gt;0,'Tax Tables'!$B$32*MIN(MAX(Q998/'Tax Tables'!$B$32*'Tax Tables'!$B$33,'Tax Tables'!$B$34),'Tax Tables'!$B$35),0)</f>
        <v>135</v>
      </c>
      <c r="W998" s="11" t="n">
        <f aca="false">Calculator!$B$5-P998-U998-V998</f>
        <v>-108955</v>
      </c>
      <c r="X998" s="11" t="n">
        <f aca="false">'Tax Tables'!$B$22*(MAX(W998,0)-IF(Calculator!$B$10="Yes",MIN(MAX(W998,0),'Tax Tables'!$B$27)*'Tax Tables'!$B$28+MIN(MAX(MAX(W998,0)-'Tax Tables'!$B$27,0),'Tax Tables'!$B$29)*'Tax Tables'!$B$30,MIN(MAX(W998,0),'Tax Tables'!$B$23)*'Tax Tables'!$B$24+MIN(MAX(MAX(W998,0)-'Tax Tables'!$B$23,0),'Tax Tables'!$B$25)*'Tax Tables'!$B$26))*1-MIN('Tax Tables'!$B$22*(MAX(W998,0)-IF(Calculator!$B$10="Yes",MIN(MAX(W998,0),'Tax Tables'!$B$27)*'Tax Tables'!$B$28+MIN(MAX(MAX(W998,0)-'Tax Tables'!$B$27,0),'Tax Tables'!$B$29)*'Tax Tables'!$B$30,MIN(MAX(W998,0),'Tax Tables'!$B$23)*'Tax Tables'!$B$24+MIN(MAX(MAX(W998,0)-'Tax Tables'!$B$23,0),'Tax Tables'!$B$25)*'Tax Tables'!$B$26))*Calculator!$B$11,Calculator!$B$12)</f>
        <v>0</v>
      </c>
      <c r="Y998" s="11" t="n">
        <f aca="false">MAX(W998,0)-X998</f>
        <v>0</v>
      </c>
      <c r="Z998" s="11" t="n">
        <f aca="false">MIN(IF(P998&gt;0,Calculator!$B$13,0)+T998+Calculator!$B$14,'Tax Tables'!$B$36)</f>
        <v>20200</v>
      </c>
      <c r="AA998" s="11" t="n">
        <f aca="false">MAX(P998-Z998,0)</f>
        <v>472300</v>
      </c>
      <c r="AB998" s="11" t="n">
        <f aca="false">SUMPRODUCT((AA998&gt;'Tax Tables'!$A$5:$A$17)*(AA998-'Tax Tables'!$A$5:$A$17)*'Tax Tables'!$C$5:$C$17)</f>
        <v>78056</v>
      </c>
      <c r="AC998" s="11" t="n">
        <f aca="false">IF(W998&lt;0,-1E+099,P998-T998-AB998+Y998+(T998+U998)*Calculator!$B$9)</f>
        <v>-1E+099</v>
      </c>
    </row>
    <row r="999" customFormat="false" ht="15" hidden="false" customHeight="false" outlineLevel="0" collapsed="false">
      <c r="A999" s="11" t="n">
        <f aca="false">986*$B$3</f>
        <v>493000</v>
      </c>
      <c r="B999" s="11" t="n">
        <f aca="false">0</f>
        <v>0</v>
      </c>
      <c r="C999" s="11" t="n">
        <f aca="false">A999-B999</f>
        <v>493000</v>
      </c>
      <c r="D999" s="11" t="n">
        <f aca="false">IF(Calculator!$B$6="Yes",MIN(B999,'Tax Tables'!$B$31*'Tax Tables'!$B$32),0)</f>
        <v>0</v>
      </c>
      <c r="E999" s="11" t="n">
        <f aca="false">D999*Calculator!$B$7</f>
        <v>0</v>
      </c>
      <c r="F999" s="11" t="n">
        <f aca="false">D999*Calculator!$B$8</f>
        <v>0</v>
      </c>
      <c r="G999" s="11" t="n">
        <f aca="false">IF(B999&gt;0,'Tax Tables'!$B$32*MIN(MAX(B999/'Tax Tables'!$B$32*'Tax Tables'!$B$33,'Tax Tables'!$B$34),'Tax Tables'!$B$35),0)</f>
        <v>0</v>
      </c>
      <c r="H999" s="11" t="n">
        <f aca="false">Calculator!$B$5-A999-F999-G999</f>
        <v>-93000</v>
      </c>
      <c r="I999" s="11" t="n">
        <f aca="false">'Tax Tables'!$B$22*(MAX(H999,0)-IF(Calculator!$B$10="Yes",MIN(MAX(H999,0),'Tax Tables'!$B$27)*'Tax Tables'!$B$28+MIN(MAX(MAX(H999,0)-'Tax Tables'!$B$27,0),'Tax Tables'!$B$29)*'Tax Tables'!$B$30,MIN(MAX(H999,0),'Tax Tables'!$B$23)*'Tax Tables'!$B$24+MIN(MAX(MAX(H999,0)-'Tax Tables'!$B$23,0),'Tax Tables'!$B$25)*'Tax Tables'!$B$26))*1-MIN('Tax Tables'!$B$22*(MAX(H999,0)-IF(Calculator!$B$10="Yes",MIN(MAX(H999,0),'Tax Tables'!$B$27)*'Tax Tables'!$B$28+MIN(MAX(MAX(H999,0)-'Tax Tables'!$B$27,0),'Tax Tables'!$B$29)*'Tax Tables'!$B$30,MIN(MAX(H999,0),'Tax Tables'!$B$23)*'Tax Tables'!$B$24+MIN(MAX(MAX(H999,0)-'Tax Tables'!$B$23,0),'Tax Tables'!$B$25)*'Tax Tables'!$B$26))*Calculator!$B$11,Calculator!$B$12)</f>
        <v>0</v>
      </c>
      <c r="J999" s="11" t="n">
        <f aca="false">MAX(H999,0)-I999</f>
        <v>0</v>
      </c>
      <c r="K999" s="11" t="n">
        <f aca="false">MIN(IF(A999&gt;0,Calculator!$B$13,0)+E999+Calculator!$B$14,'Tax Tables'!$B$36)</f>
        <v>1000</v>
      </c>
      <c r="L999" s="11" t="n">
        <f aca="false">MAX(A999-K999,0)</f>
        <v>492000</v>
      </c>
      <c r="M999" s="11" t="n">
        <f aca="false">SUMPRODUCT((L999&gt;'Tax Tables'!$A$5:$A$17)*(L999-'Tax Tables'!$A$5:$A$17)*'Tax Tables'!$C$5:$C$17)</f>
        <v>82390</v>
      </c>
      <c r="N999" s="11" t="n">
        <f aca="false">IF(H999&lt;0,-1E+099,A999-E999-M999+J999+(E999+F999)*Calculator!$B$9)</f>
        <v>-1E+099</v>
      </c>
      <c r="O999" s="2"/>
      <c r="P999" s="11" t="n">
        <f aca="false">986*$B$3</f>
        <v>493000</v>
      </c>
      <c r="Q999" s="11" t="n">
        <f aca="false">MIN(P999,'Tax Tables'!$B$31*'Tax Tables'!$B$32)</f>
        <v>96000</v>
      </c>
      <c r="R999" s="11" t="n">
        <f aca="false">P999-Q999</f>
        <v>397000</v>
      </c>
      <c r="S999" s="11" t="n">
        <f aca="false">IF(Calculator!$B$6="Yes",MIN(Q999,'Tax Tables'!$B$31*'Tax Tables'!$B$32),0)</f>
        <v>96000</v>
      </c>
      <c r="T999" s="11" t="n">
        <f aca="false">S999*Calculator!$B$7</f>
        <v>19200</v>
      </c>
      <c r="U999" s="11" t="n">
        <f aca="false">S999*Calculator!$B$8</f>
        <v>16320</v>
      </c>
      <c r="V999" s="11" t="n">
        <f aca="false">IF(Q999&gt;0,'Tax Tables'!$B$32*MIN(MAX(Q999/'Tax Tables'!$B$32*'Tax Tables'!$B$33,'Tax Tables'!$B$34),'Tax Tables'!$B$35),0)</f>
        <v>135</v>
      </c>
      <c r="W999" s="11" t="n">
        <f aca="false">Calculator!$B$5-P999-U999-V999</f>
        <v>-109455</v>
      </c>
      <c r="X999" s="11" t="n">
        <f aca="false">'Tax Tables'!$B$22*(MAX(W999,0)-IF(Calculator!$B$10="Yes",MIN(MAX(W999,0),'Tax Tables'!$B$27)*'Tax Tables'!$B$28+MIN(MAX(MAX(W999,0)-'Tax Tables'!$B$27,0),'Tax Tables'!$B$29)*'Tax Tables'!$B$30,MIN(MAX(W999,0),'Tax Tables'!$B$23)*'Tax Tables'!$B$24+MIN(MAX(MAX(W999,0)-'Tax Tables'!$B$23,0),'Tax Tables'!$B$25)*'Tax Tables'!$B$26))*1-MIN('Tax Tables'!$B$22*(MAX(W999,0)-IF(Calculator!$B$10="Yes",MIN(MAX(W999,0),'Tax Tables'!$B$27)*'Tax Tables'!$B$28+MIN(MAX(MAX(W999,0)-'Tax Tables'!$B$27,0),'Tax Tables'!$B$29)*'Tax Tables'!$B$30,MIN(MAX(W999,0),'Tax Tables'!$B$23)*'Tax Tables'!$B$24+MIN(MAX(MAX(W999,0)-'Tax Tables'!$B$23,0),'Tax Tables'!$B$25)*'Tax Tables'!$B$26))*Calculator!$B$11,Calculator!$B$12)</f>
        <v>0</v>
      </c>
      <c r="Y999" s="11" t="n">
        <f aca="false">MAX(W999,0)-X999</f>
        <v>0</v>
      </c>
      <c r="Z999" s="11" t="n">
        <f aca="false">MIN(IF(P999&gt;0,Calculator!$B$13,0)+T999+Calculator!$B$14,'Tax Tables'!$B$36)</f>
        <v>20200</v>
      </c>
      <c r="AA999" s="11" t="n">
        <f aca="false">MAX(P999-Z999,0)</f>
        <v>472800</v>
      </c>
      <c r="AB999" s="11" t="n">
        <f aca="false">SUMPRODUCT((AA999&gt;'Tax Tables'!$A$5:$A$17)*(AA999-'Tax Tables'!$A$5:$A$17)*'Tax Tables'!$C$5:$C$17)</f>
        <v>78166</v>
      </c>
      <c r="AC999" s="11" t="n">
        <f aca="false">IF(W999&lt;0,-1E+099,P999-T999-AB999+Y999+(T999+U999)*Calculator!$B$9)</f>
        <v>-1E+099</v>
      </c>
    </row>
    <row r="1000" customFormat="false" ht="15" hidden="false" customHeight="false" outlineLevel="0" collapsed="false">
      <c r="A1000" s="11" t="n">
        <f aca="false">987*$B$3</f>
        <v>493500</v>
      </c>
      <c r="B1000" s="11" t="n">
        <f aca="false">0</f>
        <v>0</v>
      </c>
      <c r="C1000" s="11" t="n">
        <f aca="false">A1000-B1000</f>
        <v>493500</v>
      </c>
      <c r="D1000" s="11" t="n">
        <f aca="false">IF(Calculator!$B$6="Yes",MIN(B1000,'Tax Tables'!$B$31*'Tax Tables'!$B$32),0)</f>
        <v>0</v>
      </c>
      <c r="E1000" s="11" t="n">
        <f aca="false">D1000*Calculator!$B$7</f>
        <v>0</v>
      </c>
      <c r="F1000" s="11" t="n">
        <f aca="false">D1000*Calculator!$B$8</f>
        <v>0</v>
      </c>
      <c r="G1000" s="11" t="n">
        <f aca="false">IF(B1000&gt;0,'Tax Tables'!$B$32*MIN(MAX(B1000/'Tax Tables'!$B$32*'Tax Tables'!$B$33,'Tax Tables'!$B$34),'Tax Tables'!$B$35),0)</f>
        <v>0</v>
      </c>
      <c r="H1000" s="11" t="n">
        <f aca="false">Calculator!$B$5-A1000-F1000-G1000</f>
        <v>-93500</v>
      </c>
      <c r="I1000" s="11" t="n">
        <f aca="false">'Tax Tables'!$B$22*(MAX(H1000,0)-IF(Calculator!$B$10="Yes",MIN(MAX(H1000,0),'Tax Tables'!$B$27)*'Tax Tables'!$B$28+MIN(MAX(MAX(H1000,0)-'Tax Tables'!$B$27,0),'Tax Tables'!$B$29)*'Tax Tables'!$B$30,MIN(MAX(H1000,0),'Tax Tables'!$B$23)*'Tax Tables'!$B$24+MIN(MAX(MAX(H1000,0)-'Tax Tables'!$B$23,0),'Tax Tables'!$B$25)*'Tax Tables'!$B$26))*1-MIN('Tax Tables'!$B$22*(MAX(H1000,0)-IF(Calculator!$B$10="Yes",MIN(MAX(H1000,0),'Tax Tables'!$B$27)*'Tax Tables'!$B$28+MIN(MAX(MAX(H1000,0)-'Tax Tables'!$B$27,0),'Tax Tables'!$B$29)*'Tax Tables'!$B$30,MIN(MAX(H1000,0),'Tax Tables'!$B$23)*'Tax Tables'!$B$24+MIN(MAX(MAX(H1000,0)-'Tax Tables'!$B$23,0),'Tax Tables'!$B$25)*'Tax Tables'!$B$26))*Calculator!$B$11,Calculator!$B$12)</f>
        <v>0</v>
      </c>
      <c r="J1000" s="11" t="n">
        <f aca="false">MAX(H1000,0)-I1000</f>
        <v>0</v>
      </c>
      <c r="K1000" s="11" t="n">
        <f aca="false">MIN(IF(A1000&gt;0,Calculator!$B$13,0)+E1000+Calculator!$B$14,'Tax Tables'!$B$36)</f>
        <v>1000</v>
      </c>
      <c r="L1000" s="11" t="n">
        <f aca="false">MAX(A1000-K1000,0)</f>
        <v>492500</v>
      </c>
      <c r="M1000" s="11" t="n">
        <f aca="false">SUMPRODUCT((L1000&gt;'Tax Tables'!$A$5:$A$17)*(L1000-'Tax Tables'!$A$5:$A$17)*'Tax Tables'!$C$5:$C$17)</f>
        <v>82500</v>
      </c>
      <c r="N1000" s="11" t="n">
        <f aca="false">IF(H1000&lt;0,-1E+099,A1000-E1000-M1000+J1000+(E1000+F1000)*Calculator!$B$9)</f>
        <v>-1E+099</v>
      </c>
      <c r="O1000" s="2"/>
      <c r="P1000" s="11" t="n">
        <f aca="false">987*$B$3</f>
        <v>493500</v>
      </c>
      <c r="Q1000" s="11" t="n">
        <f aca="false">MIN(P1000,'Tax Tables'!$B$31*'Tax Tables'!$B$32)</f>
        <v>96000</v>
      </c>
      <c r="R1000" s="11" t="n">
        <f aca="false">P1000-Q1000</f>
        <v>397500</v>
      </c>
      <c r="S1000" s="11" t="n">
        <f aca="false">IF(Calculator!$B$6="Yes",MIN(Q1000,'Tax Tables'!$B$31*'Tax Tables'!$B$32),0)</f>
        <v>96000</v>
      </c>
      <c r="T1000" s="11" t="n">
        <f aca="false">S1000*Calculator!$B$7</f>
        <v>19200</v>
      </c>
      <c r="U1000" s="11" t="n">
        <f aca="false">S1000*Calculator!$B$8</f>
        <v>16320</v>
      </c>
      <c r="V1000" s="11" t="n">
        <f aca="false">IF(Q1000&gt;0,'Tax Tables'!$B$32*MIN(MAX(Q1000/'Tax Tables'!$B$32*'Tax Tables'!$B$33,'Tax Tables'!$B$34),'Tax Tables'!$B$35),0)</f>
        <v>135</v>
      </c>
      <c r="W1000" s="11" t="n">
        <f aca="false">Calculator!$B$5-P1000-U1000-V1000</f>
        <v>-109955</v>
      </c>
      <c r="X1000" s="11" t="n">
        <f aca="false">'Tax Tables'!$B$22*(MAX(W1000,0)-IF(Calculator!$B$10="Yes",MIN(MAX(W1000,0),'Tax Tables'!$B$27)*'Tax Tables'!$B$28+MIN(MAX(MAX(W1000,0)-'Tax Tables'!$B$27,0),'Tax Tables'!$B$29)*'Tax Tables'!$B$30,MIN(MAX(W1000,0),'Tax Tables'!$B$23)*'Tax Tables'!$B$24+MIN(MAX(MAX(W1000,0)-'Tax Tables'!$B$23,0),'Tax Tables'!$B$25)*'Tax Tables'!$B$26))*1-MIN('Tax Tables'!$B$22*(MAX(W1000,0)-IF(Calculator!$B$10="Yes",MIN(MAX(W1000,0),'Tax Tables'!$B$27)*'Tax Tables'!$B$28+MIN(MAX(MAX(W1000,0)-'Tax Tables'!$B$27,0),'Tax Tables'!$B$29)*'Tax Tables'!$B$30,MIN(MAX(W1000,0),'Tax Tables'!$B$23)*'Tax Tables'!$B$24+MIN(MAX(MAX(W1000,0)-'Tax Tables'!$B$23,0),'Tax Tables'!$B$25)*'Tax Tables'!$B$26))*Calculator!$B$11,Calculator!$B$12)</f>
        <v>0</v>
      </c>
      <c r="Y1000" s="11" t="n">
        <f aca="false">MAX(W1000,0)-X1000</f>
        <v>0</v>
      </c>
      <c r="Z1000" s="11" t="n">
        <f aca="false">MIN(IF(P1000&gt;0,Calculator!$B$13,0)+T1000+Calculator!$B$14,'Tax Tables'!$B$36)</f>
        <v>20200</v>
      </c>
      <c r="AA1000" s="11" t="n">
        <f aca="false">MAX(P1000-Z1000,0)</f>
        <v>473300</v>
      </c>
      <c r="AB1000" s="11" t="n">
        <f aca="false">SUMPRODUCT((AA1000&gt;'Tax Tables'!$A$5:$A$17)*(AA1000-'Tax Tables'!$A$5:$A$17)*'Tax Tables'!$C$5:$C$17)</f>
        <v>78276</v>
      </c>
      <c r="AC1000" s="11" t="n">
        <f aca="false">IF(W1000&lt;0,-1E+099,P1000-T1000-AB1000+Y1000+(T1000+U1000)*Calculator!$B$9)</f>
        <v>-1E+099</v>
      </c>
    </row>
    <row r="1001" customFormat="false" ht="15" hidden="false" customHeight="false" outlineLevel="0" collapsed="false">
      <c r="A1001" s="11" t="n">
        <f aca="false">988*$B$3</f>
        <v>494000</v>
      </c>
      <c r="B1001" s="11" t="n">
        <f aca="false">0</f>
        <v>0</v>
      </c>
      <c r="C1001" s="11" t="n">
        <f aca="false">A1001-B1001</f>
        <v>494000</v>
      </c>
      <c r="D1001" s="11" t="n">
        <f aca="false">IF(Calculator!$B$6="Yes",MIN(B1001,'Tax Tables'!$B$31*'Tax Tables'!$B$32),0)</f>
        <v>0</v>
      </c>
      <c r="E1001" s="11" t="n">
        <f aca="false">D1001*Calculator!$B$7</f>
        <v>0</v>
      </c>
      <c r="F1001" s="11" t="n">
        <f aca="false">D1001*Calculator!$B$8</f>
        <v>0</v>
      </c>
      <c r="G1001" s="11" t="n">
        <f aca="false">IF(B1001&gt;0,'Tax Tables'!$B$32*MIN(MAX(B1001/'Tax Tables'!$B$32*'Tax Tables'!$B$33,'Tax Tables'!$B$34),'Tax Tables'!$B$35),0)</f>
        <v>0</v>
      </c>
      <c r="H1001" s="11" t="n">
        <f aca="false">Calculator!$B$5-A1001-F1001-G1001</f>
        <v>-94000</v>
      </c>
      <c r="I1001" s="11" t="n">
        <f aca="false">'Tax Tables'!$B$22*(MAX(H1001,0)-IF(Calculator!$B$10="Yes",MIN(MAX(H1001,0),'Tax Tables'!$B$27)*'Tax Tables'!$B$28+MIN(MAX(MAX(H1001,0)-'Tax Tables'!$B$27,0),'Tax Tables'!$B$29)*'Tax Tables'!$B$30,MIN(MAX(H1001,0),'Tax Tables'!$B$23)*'Tax Tables'!$B$24+MIN(MAX(MAX(H1001,0)-'Tax Tables'!$B$23,0),'Tax Tables'!$B$25)*'Tax Tables'!$B$26))*1-MIN('Tax Tables'!$B$22*(MAX(H1001,0)-IF(Calculator!$B$10="Yes",MIN(MAX(H1001,0),'Tax Tables'!$B$27)*'Tax Tables'!$B$28+MIN(MAX(MAX(H1001,0)-'Tax Tables'!$B$27,0),'Tax Tables'!$B$29)*'Tax Tables'!$B$30,MIN(MAX(H1001,0),'Tax Tables'!$B$23)*'Tax Tables'!$B$24+MIN(MAX(MAX(H1001,0)-'Tax Tables'!$B$23,0),'Tax Tables'!$B$25)*'Tax Tables'!$B$26))*Calculator!$B$11,Calculator!$B$12)</f>
        <v>0</v>
      </c>
      <c r="J1001" s="11" t="n">
        <f aca="false">MAX(H1001,0)-I1001</f>
        <v>0</v>
      </c>
      <c r="K1001" s="11" t="n">
        <f aca="false">MIN(IF(A1001&gt;0,Calculator!$B$13,0)+E1001+Calculator!$B$14,'Tax Tables'!$B$36)</f>
        <v>1000</v>
      </c>
      <c r="L1001" s="11" t="n">
        <f aca="false">MAX(A1001-K1001,0)</f>
        <v>493000</v>
      </c>
      <c r="M1001" s="11" t="n">
        <f aca="false">SUMPRODUCT((L1001&gt;'Tax Tables'!$A$5:$A$17)*(L1001-'Tax Tables'!$A$5:$A$17)*'Tax Tables'!$C$5:$C$17)</f>
        <v>82610</v>
      </c>
      <c r="N1001" s="11" t="n">
        <f aca="false">IF(H1001&lt;0,-1E+099,A1001-E1001-M1001+J1001+(E1001+F1001)*Calculator!$B$9)</f>
        <v>-1E+099</v>
      </c>
      <c r="O1001" s="2"/>
      <c r="P1001" s="11" t="n">
        <f aca="false">988*$B$3</f>
        <v>494000</v>
      </c>
      <c r="Q1001" s="11" t="n">
        <f aca="false">MIN(P1001,'Tax Tables'!$B$31*'Tax Tables'!$B$32)</f>
        <v>96000</v>
      </c>
      <c r="R1001" s="11" t="n">
        <f aca="false">P1001-Q1001</f>
        <v>398000</v>
      </c>
      <c r="S1001" s="11" t="n">
        <f aca="false">IF(Calculator!$B$6="Yes",MIN(Q1001,'Tax Tables'!$B$31*'Tax Tables'!$B$32),0)</f>
        <v>96000</v>
      </c>
      <c r="T1001" s="11" t="n">
        <f aca="false">S1001*Calculator!$B$7</f>
        <v>19200</v>
      </c>
      <c r="U1001" s="11" t="n">
        <f aca="false">S1001*Calculator!$B$8</f>
        <v>16320</v>
      </c>
      <c r="V1001" s="11" t="n">
        <f aca="false">IF(Q1001&gt;0,'Tax Tables'!$B$32*MIN(MAX(Q1001/'Tax Tables'!$B$32*'Tax Tables'!$B$33,'Tax Tables'!$B$34),'Tax Tables'!$B$35),0)</f>
        <v>135</v>
      </c>
      <c r="W1001" s="11" t="n">
        <f aca="false">Calculator!$B$5-P1001-U1001-V1001</f>
        <v>-110455</v>
      </c>
      <c r="X1001" s="11" t="n">
        <f aca="false">'Tax Tables'!$B$22*(MAX(W1001,0)-IF(Calculator!$B$10="Yes",MIN(MAX(W1001,0),'Tax Tables'!$B$27)*'Tax Tables'!$B$28+MIN(MAX(MAX(W1001,0)-'Tax Tables'!$B$27,0),'Tax Tables'!$B$29)*'Tax Tables'!$B$30,MIN(MAX(W1001,0),'Tax Tables'!$B$23)*'Tax Tables'!$B$24+MIN(MAX(MAX(W1001,0)-'Tax Tables'!$B$23,0),'Tax Tables'!$B$25)*'Tax Tables'!$B$26))*1-MIN('Tax Tables'!$B$22*(MAX(W1001,0)-IF(Calculator!$B$10="Yes",MIN(MAX(W1001,0),'Tax Tables'!$B$27)*'Tax Tables'!$B$28+MIN(MAX(MAX(W1001,0)-'Tax Tables'!$B$27,0),'Tax Tables'!$B$29)*'Tax Tables'!$B$30,MIN(MAX(W1001,0),'Tax Tables'!$B$23)*'Tax Tables'!$B$24+MIN(MAX(MAX(W1001,0)-'Tax Tables'!$B$23,0),'Tax Tables'!$B$25)*'Tax Tables'!$B$26))*Calculator!$B$11,Calculator!$B$12)</f>
        <v>0</v>
      </c>
      <c r="Y1001" s="11" t="n">
        <f aca="false">MAX(W1001,0)-X1001</f>
        <v>0</v>
      </c>
      <c r="Z1001" s="11" t="n">
        <f aca="false">MIN(IF(P1001&gt;0,Calculator!$B$13,0)+T1001+Calculator!$B$14,'Tax Tables'!$B$36)</f>
        <v>20200</v>
      </c>
      <c r="AA1001" s="11" t="n">
        <f aca="false">MAX(P1001-Z1001,0)</f>
        <v>473800</v>
      </c>
      <c r="AB1001" s="11" t="n">
        <f aca="false">SUMPRODUCT((AA1001&gt;'Tax Tables'!$A$5:$A$17)*(AA1001-'Tax Tables'!$A$5:$A$17)*'Tax Tables'!$C$5:$C$17)</f>
        <v>78386</v>
      </c>
      <c r="AC1001" s="11" t="n">
        <f aca="false">IF(W1001&lt;0,-1E+099,P1001-T1001-AB1001+Y1001+(T1001+U1001)*Calculator!$B$9)</f>
        <v>-1E+099</v>
      </c>
    </row>
    <row r="1002" customFormat="false" ht="15" hidden="false" customHeight="false" outlineLevel="0" collapsed="false">
      <c r="A1002" s="11" t="n">
        <f aca="false">989*$B$3</f>
        <v>494500</v>
      </c>
      <c r="B1002" s="11" t="n">
        <f aca="false">0</f>
        <v>0</v>
      </c>
      <c r="C1002" s="11" t="n">
        <f aca="false">A1002-B1002</f>
        <v>494500</v>
      </c>
      <c r="D1002" s="11" t="n">
        <f aca="false">IF(Calculator!$B$6="Yes",MIN(B1002,'Tax Tables'!$B$31*'Tax Tables'!$B$32),0)</f>
        <v>0</v>
      </c>
      <c r="E1002" s="11" t="n">
        <f aca="false">D1002*Calculator!$B$7</f>
        <v>0</v>
      </c>
      <c r="F1002" s="11" t="n">
        <f aca="false">D1002*Calculator!$B$8</f>
        <v>0</v>
      </c>
      <c r="G1002" s="11" t="n">
        <f aca="false">IF(B1002&gt;0,'Tax Tables'!$B$32*MIN(MAX(B1002/'Tax Tables'!$B$32*'Tax Tables'!$B$33,'Tax Tables'!$B$34),'Tax Tables'!$B$35),0)</f>
        <v>0</v>
      </c>
      <c r="H1002" s="11" t="n">
        <f aca="false">Calculator!$B$5-A1002-F1002-G1002</f>
        <v>-94500</v>
      </c>
      <c r="I1002" s="11" t="n">
        <f aca="false">'Tax Tables'!$B$22*(MAX(H1002,0)-IF(Calculator!$B$10="Yes",MIN(MAX(H1002,0),'Tax Tables'!$B$27)*'Tax Tables'!$B$28+MIN(MAX(MAX(H1002,0)-'Tax Tables'!$B$27,0),'Tax Tables'!$B$29)*'Tax Tables'!$B$30,MIN(MAX(H1002,0),'Tax Tables'!$B$23)*'Tax Tables'!$B$24+MIN(MAX(MAX(H1002,0)-'Tax Tables'!$B$23,0),'Tax Tables'!$B$25)*'Tax Tables'!$B$26))*1-MIN('Tax Tables'!$B$22*(MAX(H1002,0)-IF(Calculator!$B$10="Yes",MIN(MAX(H1002,0),'Tax Tables'!$B$27)*'Tax Tables'!$B$28+MIN(MAX(MAX(H1002,0)-'Tax Tables'!$B$27,0),'Tax Tables'!$B$29)*'Tax Tables'!$B$30,MIN(MAX(H1002,0),'Tax Tables'!$B$23)*'Tax Tables'!$B$24+MIN(MAX(MAX(H1002,0)-'Tax Tables'!$B$23,0),'Tax Tables'!$B$25)*'Tax Tables'!$B$26))*Calculator!$B$11,Calculator!$B$12)</f>
        <v>0</v>
      </c>
      <c r="J1002" s="11" t="n">
        <f aca="false">MAX(H1002,0)-I1002</f>
        <v>0</v>
      </c>
      <c r="K1002" s="11" t="n">
        <f aca="false">MIN(IF(A1002&gt;0,Calculator!$B$13,0)+E1002+Calculator!$B$14,'Tax Tables'!$B$36)</f>
        <v>1000</v>
      </c>
      <c r="L1002" s="11" t="n">
        <f aca="false">MAX(A1002-K1002,0)</f>
        <v>493500</v>
      </c>
      <c r="M1002" s="11" t="n">
        <f aca="false">SUMPRODUCT((L1002&gt;'Tax Tables'!$A$5:$A$17)*(L1002-'Tax Tables'!$A$5:$A$17)*'Tax Tables'!$C$5:$C$17)</f>
        <v>82720</v>
      </c>
      <c r="N1002" s="11" t="n">
        <f aca="false">IF(H1002&lt;0,-1E+099,A1002-E1002-M1002+J1002+(E1002+F1002)*Calculator!$B$9)</f>
        <v>-1E+099</v>
      </c>
      <c r="O1002" s="2"/>
      <c r="P1002" s="11" t="n">
        <f aca="false">989*$B$3</f>
        <v>494500</v>
      </c>
      <c r="Q1002" s="11" t="n">
        <f aca="false">MIN(P1002,'Tax Tables'!$B$31*'Tax Tables'!$B$32)</f>
        <v>96000</v>
      </c>
      <c r="R1002" s="11" t="n">
        <f aca="false">P1002-Q1002</f>
        <v>398500</v>
      </c>
      <c r="S1002" s="11" t="n">
        <f aca="false">IF(Calculator!$B$6="Yes",MIN(Q1002,'Tax Tables'!$B$31*'Tax Tables'!$B$32),0)</f>
        <v>96000</v>
      </c>
      <c r="T1002" s="11" t="n">
        <f aca="false">S1002*Calculator!$B$7</f>
        <v>19200</v>
      </c>
      <c r="U1002" s="11" t="n">
        <f aca="false">S1002*Calculator!$B$8</f>
        <v>16320</v>
      </c>
      <c r="V1002" s="11" t="n">
        <f aca="false">IF(Q1002&gt;0,'Tax Tables'!$B$32*MIN(MAX(Q1002/'Tax Tables'!$B$32*'Tax Tables'!$B$33,'Tax Tables'!$B$34),'Tax Tables'!$B$35),0)</f>
        <v>135</v>
      </c>
      <c r="W1002" s="11" t="n">
        <f aca="false">Calculator!$B$5-P1002-U1002-V1002</f>
        <v>-110955</v>
      </c>
      <c r="X1002" s="11" t="n">
        <f aca="false">'Tax Tables'!$B$22*(MAX(W1002,0)-IF(Calculator!$B$10="Yes",MIN(MAX(W1002,0),'Tax Tables'!$B$27)*'Tax Tables'!$B$28+MIN(MAX(MAX(W1002,0)-'Tax Tables'!$B$27,0),'Tax Tables'!$B$29)*'Tax Tables'!$B$30,MIN(MAX(W1002,0),'Tax Tables'!$B$23)*'Tax Tables'!$B$24+MIN(MAX(MAX(W1002,0)-'Tax Tables'!$B$23,0),'Tax Tables'!$B$25)*'Tax Tables'!$B$26))*1-MIN('Tax Tables'!$B$22*(MAX(W1002,0)-IF(Calculator!$B$10="Yes",MIN(MAX(W1002,0),'Tax Tables'!$B$27)*'Tax Tables'!$B$28+MIN(MAX(MAX(W1002,0)-'Tax Tables'!$B$27,0),'Tax Tables'!$B$29)*'Tax Tables'!$B$30,MIN(MAX(W1002,0),'Tax Tables'!$B$23)*'Tax Tables'!$B$24+MIN(MAX(MAX(W1002,0)-'Tax Tables'!$B$23,0),'Tax Tables'!$B$25)*'Tax Tables'!$B$26))*Calculator!$B$11,Calculator!$B$12)</f>
        <v>0</v>
      </c>
      <c r="Y1002" s="11" t="n">
        <f aca="false">MAX(W1002,0)-X1002</f>
        <v>0</v>
      </c>
      <c r="Z1002" s="11" t="n">
        <f aca="false">MIN(IF(P1002&gt;0,Calculator!$B$13,0)+T1002+Calculator!$B$14,'Tax Tables'!$B$36)</f>
        <v>20200</v>
      </c>
      <c r="AA1002" s="11" t="n">
        <f aca="false">MAX(P1002-Z1002,0)</f>
        <v>474300</v>
      </c>
      <c r="AB1002" s="11" t="n">
        <f aca="false">SUMPRODUCT((AA1002&gt;'Tax Tables'!$A$5:$A$17)*(AA1002-'Tax Tables'!$A$5:$A$17)*'Tax Tables'!$C$5:$C$17)</f>
        <v>78496</v>
      </c>
      <c r="AC1002" s="11" t="n">
        <f aca="false">IF(W1002&lt;0,-1E+099,P1002-T1002-AB1002+Y1002+(T1002+U1002)*Calculator!$B$9)</f>
        <v>-1E+099</v>
      </c>
    </row>
    <row r="1003" customFormat="false" ht="15" hidden="false" customHeight="false" outlineLevel="0" collapsed="false">
      <c r="A1003" s="11" t="n">
        <f aca="false">990*$B$3</f>
        <v>495000</v>
      </c>
      <c r="B1003" s="11" t="n">
        <f aca="false">0</f>
        <v>0</v>
      </c>
      <c r="C1003" s="11" t="n">
        <f aca="false">A1003-B1003</f>
        <v>495000</v>
      </c>
      <c r="D1003" s="11" t="n">
        <f aca="false">IF(Calculator!$B$6="Yes",MIN(B1003,'Tax Tables'!$B$31*'Tax Tables'!$B$32),0)</f>
        <v>0</v>
      </c>
      <c r="E1003" s="11" t="n">
        <f aca="false">D1003*Calculator!$B$7</f>
        <v>0</v>
      </c>
      <c r="F1003" s="11" t="n">
        <f aca="false">D1003*Calculator!$B$8</f>
        <v>0</v>
      </c>
      <c r="G1003" s="11" t="n">
        <f aca="false">IF(B1003&gt;0,'Tax Tables'!$B$32*MIN(MAX(B1003/'Tax Tables'!$B$32*'Tax Tables'!$B$33,'Tax Tables'!$B$34),'Tax Tables'!$B$35),0)</f>
        <v>0</v>
      </c>
      <c r="H1003" s="11" t="n">
        <f aca="false">Calculator!$B$5-A1003-F1003-G1003</f>
        <v>-95000</v>
      </c>
      <c r="I1003" s="11" t="n">
        <f aca="false">'Tax Tables'!$B$22*(MAX(H1003,0)-IF(Calculator!$B$10="Yes",MIN(MAX(H1003,0),'Tax Tables'!$B$27)*'Tax Tables'!$B$28+MIN(MAX(MAX(H1003,0)-'Tax Tables'!$B$27,0),'Tax Tables'!$B$29)*'Tax Tables'!$B$30,MIN(MAX(H1003,0),'Tax Tables'!$B$23)*'Tax Tables'!$B$24+MIN(MAX(MAX(H1003,0)-'Tax Tables'!$B$23,0),'Tax Tables'!$B$25)*'Tax Tables'!$B$26))*1-MIN('Tax Tables'!$B$22*(MAX(H1003,0)-IF(Calculator!$B$10="Yes",MIN(MAX(H1003,0),'Tax Tables'!$B$27)*'Tax Tables'!$B$28+MIN(MAX(MAX(H1003,0)-'Tax Tables'!$B$27,0),'Tax Tables'!$B$29)*'Tax Tables'!$B$30,MIN(MAX(H1003,0),'Tax Tables'!$B$23)*'Tax Tables'!$B$24+MIN(MAX(MAX(H1003,0)-'Tax Tables'!$B$23,0),'Tax Tables'!$B$25)*'Tax Tables'!$B$26))*Calculator!$B$11,Calculator!$B$12)</f>
        <v>0</v>
      </c>
      <c r="J1003" s="11" t="n">
        <f aca="false">MAX(H1003,0)-I1003</f>
        <v>0</v>
      </c>
      <c r="K1003" s="11" t="n">
        <f aca="false">MIN(IF(A1003&gt;0,Calculator!$B$13,0)+E1003+Calculator!$B$14,'Tax Tables'!$B$36)</f>
        <v>1000</v>
      </c>
      <c r="L1003" s="11" t="n">
        <f aca="false">MAX(A1003-K1003,0)</f>
        <v>494000</v>
      </c>
      <c r="M1003" s="11" t="n">
        <f aca="false">SUMPRODUCT((L1003&gt;'Tax Tables'!$A$5:$A$17)*(L1003-'Tax Tables'!$A$5:$A$17)*'Tax Tables'!$C$5:$C$17)</f>
        <v>82830</v>
      </c>
      <c r="N1003" s="11" t="n">
        <f aca="false">IF(H1003&lt;0,-1E+099,A1003-E1003-M1003+J1003+(E1003+F1003)*Calculator!$B$9)</f>
        <v>-1E+099</v>
      </c>
      <c r="O1003" s="2"/>
      <c r="P1003" s="11" t="n">
        <f aca="false">990*$B$3</f>
        <v>495000</v>
      </c>
      <c r="Q1003" s="11" t="n">
        <f aca="false">MIN(P1003,'Tax Tables'!$B$31*'Tax Tables'!$B$32)</f>
        <v>96000</v>
      </c>
      <c r="R1003" s="11" t="n">
        <f aca="false">P1003-Q1003</f>
        <v>399000</v>
      </c>
      <c r="S1003" s="11" t="n">
        <f aca="false">IF(Calculator!$B$6="Yes",MIN(Q1003,'Tax Tables'!$B$31*'Tax Tables'!$B$32),0)</f>
        <v>96000</v>
      </c>
      <c r="T1003" s="11" t="n">
        <f aca="false">S1003*Calculator!$B$7</f>
        <v>19200</v>
      </c>
      <c r="U1003" s="11" t="n">
        <f aca="false">S1003*Calculator!$B$8</f>
        <v>16320</v>
      </c>
      <c r="V1003" s="11" t="n">
        <f aca="false">IF(Q1003&gt;0,'Tax Tables'!$B$32*MIN(MAX(Q1003/'Tax Tables'!$B$32*'Tax Tables'!$B$33,'Tax Tables'!$B$34),'Tax Tables'!$B$35),0)</f>
        <v>135</v>
      </c>
      <c r="W1003" s="11" t="n">
        <f aca="false">Calculator!$B$5-P1003-U1003-V1003</f>
        <v>-111455</v>
      </c>
      <c r="X1003" s="11" t="n">
        <f aca="false">'Tax Tables'!$B$22*(MAX(W1003,0)-IF(Calculator!$B$10="Yes",MIN(MAX(W1003,0),'Tax Tables'!$B$27)*'Tax Tables'!$B$28+MIN(MAX(MAX(W1003,0)-'Tax Tables'!$B$27,0),'Tax Tables'!$B$29)*'Tax Tables'!$B$30,MIN(MAX(W1003,0),'Tax Tables'!$B$23)*'Tax Tables'!$B$24+MIN(MAX(MAX(W1003,0)-'Tax Tables'!$B$23,0),'Tax Tables'!$B$25)*'Tax Tables'!$B$26))*1-MIN('Tax Tables'!$B$22*(MAX(W1003,0)-IF(Calculator!$B$10="Yes",MIN(MAX(W1003,0),'Tax Tables'!$B$27)*'Tax Tables'!$B$28+MIN(MAX(MAX(W1003,0)-'Tax Tables'!$B$27,0),'Tax Tables'!$B$29)*'Tax Tables'!$B$30,MIN(MAX(W1003,0),'Tax Tables'!$B$23)*'Tax Tables'!$B$24+MIN(MAX(MAX(W1003,0)-'Tax Tables'!$B$23,0),'Tax Tables'!$B$25)*'Tax Tables'!$B$26))*Calculator!$B$11,Calculator!$B$12)</f>
        <v>0</v>
      </c>
      <c r="Y1003" s="11" t="n">
        <f aca="false">MAX(W1003,0)-X1003</f>
        <v>0</v>
      </c>
      <c r="Z1003" s="11" t="n">
        <f aca="false">MIN(IF(P1003&gt;0,Calculator!$B$13,0)+T1003+Calculator!$B$14,'Tax Tables'!$B$36)</f>
        <v>20200</v>
      </c>
      <c r="AA1003" s="11" t="n">
        <f aca="false">MAX(P1003-Z1003,0)</f>
        <v>474800</v>
      </c>
      <c r="AB1003" s="11" t="n">
        <f aca="false">SUMPRODUCT((AA1003&gt;'Tax Tables'!$A$5:$A$17)*(AA1003-'Tax Tables'!$A$5:$A$17)*'Tax Tables'!$C$5:$C$17)</f>
        <v>78606</v>
      </c>
      <c r="AC1003" s="11" t="n">
        <f aca="false">IF(W1003&lt;0,-1E+099,P1003-T1003-AB1003+Y1003+(T1003+U1003)*Calculator!$B$9)</f>
        <v>-1E+099</v>
      </c>
    </row>
    <row r="1004" customFormat="false" ht="15" hidden="false" customHeight="false" outlineLevel="0" collapsed="false">
      <c r="A1004" s="11" t="n">
        <f aca="false">991*$B$3</f>
        <v>495500</v>
      </c>
      <c r="B1004" s="11" t="n">
        <f aca="false">0</f>
        <v>0</v>
      </c>
      <c r="C1004" s="11" t="n">
        <f aca="false">A1004-B1004</f>
        <v>495500</v>
      </c>
      <c r="D1004" s="11" t="n">
        <f aca="false">IF(Calculator!$B$6="Yes",MIN(B1004,'Tax Tables'!$B$31*'Tax Tables'!$B$32),0)</f>
        <v>0</v>
      </c>
      <c r="E1004" s="11" t="n">
        <f aca="false">D1004*Calculator!$B$7</f>
        <v>0</v>
      </c>
      <c r="F1004" s="11" t="n">
        <f aca="false">D1004*Calculator!$B$8</f>
        <v>0</v>
      </c>
      <c r="G1004" s="11" t="n">
        <f aca="false">IF(B1004&gt;0,'Tax Tables'!$B$32*MIN(MAX(B1004/'Tax Tables'!$B$32*'Tax Tables'!$B$33,'Tax Tables'!$B$34),'Tax Tables'!$B$35),0)</f>
        <v>0</v>
      </c>
      <c r="H1004" s="11" t="n">
        <f aca="false">Calculator!$B$5-A1004-F1004-G1004</f>
        <v>-95500</v>
      </c>
      <c r="I1004" s="11" t="n">
        <f aca="false">'Tax Tables'!$B$22*(MAX(H1004,0)-IF(Calculator!$B$10="Yes",MIN(MAX(H1004,0),'Tax Tables'!$B$27)*'Tax Tables'!$B$28+MIN(MAX(MAX(H1004,0)-'Tax Tables'!$B$27,0),'Tax Tables'!$B$29)*'Tax Tables'!$B$30,MIN(MAX(H1004,0),'Tax Tables'!$B$23)*'Tax Tables'!$B$24+MIN(MAX(MAX(H1004,0)-'Tax Tables'!$B$23,0),'Tax Tables'!$B$25)*'Tax Tables'!$B$26))*1-MIN('Tax Tables'!$B$22*(MAX(H1004,0)-IF(Calculator!$B$10="Yes",MIN(MAX(H1004,0),'Tax Tables'!$B$27)*'Tax Tables'!$B$28+MIN(MAX(MAX(H1004,0)-'Tax Tables'!$B$27,0),'Tax Tables'!$B$29)*'Tax Tables'!$B$30,MIN(MAX(H1004,0),'Tax Tables'!$B$23)*'Tax Tables'!$B$24+MIN(MAX(MAX(H1004,0)-'Tax Tables'!$B$23,0),'Tax Tables'!$B$25)*'Tax Tables'!$B$26))*Calculator!$B$11,Calculator!$B$12)</f>
        <v>0</v>
      </c>
      <c r="J1004" s="11" t="n">
        <f aca="false">MAX(H1004,0)-I1004</f>
        <v>0</v>
      </c>
      <c r="K1004" s="11" t="n">
        <f aca="false">MIN(IF(A1004&gt;0,Calculator!$B$13,0)+E1004+Calculator!$B$14,'Tax Tables'!$B$36)</f>
        <v>1000</v>
      </c>
      <c r="L1004" s="11" t="n">
        <f aca="false">MAX(A1004-K1004,0)</f>
        <v>494500</v>
      </c>
      <c r="M1004" s="11" t="n">
        <f aca="false">SUMPRODUCT((L1004&gt;'Tax Tables'!$A$5:$A$17)*(L1004-'Tax Tables'!$A$5:$A$17)*'Tax Tables'!$C$5:$C$17)</f>
        <v>82940</v>
      </c>
      <c r="N1004" s="11" t="n">
        <f aca="false">IF(H1004&lt;0,-1E+099,A1004-E1004-M1004+J1004+(E1004+F1004)*Calculator!$B$9)</f>
        <v>-1E+099</v>
      </c>
      <c r="O1004" s="2"/>
      <c r="P1004" s="11" t="n">
        <f aca="false">991*$B$3</f>
        <v>495500</v>
      </c>
      <c r="Q1004" s="11" t="n">
        <f aca="false">MIN(P1004,'Tax Tables'!$B$31*'Tax Tables'!$B$32)</f>
        <v>96000</v>
      </c>
      <c r="R1004" s="11" t="n">
        <f aca="false">P1004-Q1004</f>
        <v>399500</v>
      </c>
      <c r="S1004" s="11" t="n">
        <f aca="false">IF(Calculator!$B$6="Yes",MIN(Q1004,'Tax Tables'!$B$31*'Tax Tables'!$B$32),0)</f>
        <v>96000</v>
      </c>
      <c r="T1004" s="11" t="n">
        <f aca="false">S1004*Calculator!$B$7</f>
        <v>19200</v>
      </c>
      <c r="U1004" s="11" t="n">
        <f aca="false">S1004*Calculator!$B$8</f>
        <v>16320</v>
      </c>
      <c r="V1004" s="11" t="n">
        <f aca="false">IF(Q1004&gt;0,'Tax Tables'!$B$32*MIN(MAX(Q1004/'Tax Tables'!$B$32*'Tax Tables'!$B$33,'Tax Tables'!$B$34),'Tax Tables'!$B$35),0)</f>
        <v>135</v>
      </c>
      <c r="W1004" s="11" t="n">
        <f aca="false">Calculator!$B$5-P1004-U1004-V1004</f>
        <v>-111955</v>
      </c>
      <c r="X1004" s="11" t="n">
        <f aca="false">'Tax Tables'!$B$22*(MAX(W1004,0)-IF(Calculator!$B$10="Yes",MIN(MAX(W1004,0),'Tax Tables'!$B$27)*'Tax Tables'!$B$28+MIN(MAX(MAX(W1004,0)-'Tax Tables'!$B$27,0),'Tax Tables'!$B$29)*'Tax Tables'!$B$30,MIN(MAX(W1004,0),'Tax Tables'!$B$23)*'Tax Tables'!$B$24+MIN(MAX(MAX(W1004,0)-'Tax Tables'!$B$23,0),'Tax Tables'!$B$25)*'Tax Tables'!$B$26))*1-MIN('Tax Tables'!$B$22*(MAX(W1004,0)-IF(Calculator!$B$10="Yes",MIN(MAX(W1004,0),'Tax Tables'!$B$27)*'Tax Tables'!$B$28+MIN(MAX(MAX(W1004,0)-'Tax Tables'!$B$27,0),'Tax Tables'!$B$29)*'Tax Tables'!$B$30,MIN(MAX(W1004,0),'Tax Tables'!$B$23)*'Tax Tables'!$B$24+MIN(MAX(MAX(W1004,0)-'Tax Tables'!$B$23,0),'Tax Tables'!$B$25)*'Tax Tables'!$B$26))*Calculator!$B$11,Calculator!$B$12)</f>
        <v>0</v>
      </c>
      <c r="Y1004" s="11" t="n">
        <f aca="false">MAX(W1004,0)-X1004</f>
        <v>0</v>
      </c>
      <c r="Z1004" s="11" t="n">
        <f aca="false">MIN(IF(P1004&gt;0,Calculator!$B$13,0)+T1004+Calculator!$B$14,'Tax Tables'!$B$36)</f>
        <v>20200</v>
      </c>
      <c r="AA1004" s="11" t="n">
        <f aca="false">MAX(P1004-Z1004,0)</f>
        <v>475300</v>
      </c>
      <c r="AB1004" s="11" t="n">
        <f aca="false">SUMPRODUCT((AA1004&gt;'Tax Tables'!$A$5:$A$17)*(AA1004-'Tax Tables'!$A$5:$A$17)*'Tax Tables'!$C$5:$C$17)</f>
        <v>78716</v>
      </c>
      <c r="AC1004" s="11" t="n">
        <f aca="false">IF(W1004&lt;0,-1E+099,P1004-T1004-AB1004+Y1004+(T1004+U1004)*Calculator!$B$9)</f>
        <v>-1E+099</v>
      </c>
    </row>
    <row r="1005" customFormat="false" ht="15" hidden="false" customHeight="false" outlineLevel="0" collapsed="false">
      <c r="A1005" s="11" t="n">
        <f aca="false">992*$B$3</f>
        <v>496000</v>
      </c>
      <c r="B1005" s="11" t="n">
        <f aca="false">0</f>
        <v>0</v>
      </c>
      <c r="C1005" s="11" t="n">
        <f aca="false">A1005-B1005</f>
        <v>496000</v>
      </c>
      <c r="D1005" s="11" t="n">
        <f aca="false">IF(Calculator!$B$6="Yes",MIN(B1005,'Tax Tables'!$B$31*'Tax Tables'!$B$32),0)</f>
        <v>0</v>
      </c>
      <c r="E1005" s="11" t="n">
        <f aca="false">D1005*Calculator!$B$7</f>
        <v>0</v>
      </c>
      <c r="F1005" s="11" t="n">
        <f aca="false">D1005*Calculator!$B$8</f>
        <v>0</v>
      </c>
      <c r="G1005" s="11" t="n">
        <f aca="false">IF(B1005&gt;0,'Tax Tables'!$B$32*MIN(MAX(B1005/'Tax Tables'!$B$32*'Tax Tables'!$B$33,'Tax Tables'!$B$34),'Tax Tables'!$B$35),0)</f>
        <v>0</v>
      </c>
      <c r="H1005" s="11" t="n">
        <f aca="false">Calculator!$B$5-A1005-F1005-G1005</f>
        <v>-96000</v>
      </c>
      <c r="I1005" s="11" t="n">
        <f aca="false">'Tax Tables'!$B$22*(MAX(H1005,0)-IF(Calculator!$B$10="Yes",MIN(MAX(H1005,0),'Tax Tables'!$B$27)*'Tax Tables'!$B$28+MIN(MAX(MAX(H1005,0)-'Tax Tables'!$B$27,0),'Tax Tables'!$B$29)*'Tax Tables'!$B$30,MIN(MAX(H1005,0),'Tax Tables'!$B$23)*'Tax Tables'!$B$24+MIN(MAX(MAX(H1005,0)-'Tax Tables'!$B$23,0),'Tax Tables'!$B$25)*'Tax Tables'!$B$26))*1-MIN('Tax Tables'!$B$22*(MAX(H1005,0)-IF(Calculator!$B$10="Yes",MIN(MAX(H1005,0),'Tax Tables'!$B$27)*'Tax Tables'!$B$28+MIN(MAX(MAX(H1005,0)-'Tax Tables'!$B$27,0),'Tax Tables'!$B$29)*'Tax Tables'!$B$30,MIN(MAX(H1005,0),'Tax Tables'!$B$23)*'Tax Tables'!$B$24+MIN(MAX(MAX(H1005,0)-'Tax Tables'!$B$23,0),'Tax Tables'!$B$25)*'Tax Tables'!$B$26))*Calculator!$B$11,Calculator!$B$12)</f>
        <v>0</v>
      </c>
      <c r="J1005" s="11" t="n">
        <f aca="false">MAX(H1005,0)-I1005</f>
        <v>0</v>
      </c>
      <c r="K1005" s="11" t="n">
        <f aca="false">MIN(IF(A1005&gt;0,Calculator!$B$13,0)+E1005+Calculator!$B$14,'Tax Tables'!$B$36)</f>
        <v>1000</v>
      </c>
      <c r="L1005" s="11" t="n">
        <f aca="false">MAX(A1005-K1005,0)</f>
        <v>495000</v>
      </c>
      <c r="M1005" s="11" t="n">
        <f aca="false">SUMPRODUCT((L1005&gt;'Tax Tables'!$A$5:$A$17)*(L1005-'Tax Tables'!$A$5:$A$17)*'Tax Tables'!$C$5:$C$17)</f>
        <v>83050</v>
      </c>
      <c r="N1005" s="11" t="n">
        <f aca="false">IF(H1005&lt;0,-1E+099,A1005-E1005-M1005+J1005+(E1005+F1005)*Calculator!$B$9)</f>
        <v>-1E+099</v>
      </c>
      <c r="O1005" s="2"/>
      <c r="P1005" s="11" t="n">
        <f aca="false">992*$B$3</f>
        <v>496000</v>
      </c>
      <c r="Q1005" s="11" t="n">
        <f aca="false">MIN(P1005,'Tax Tables'!$B$31*'Tax Tables'!$B$32)</f>
        <v>96000</v>
      </c>
      <c r="R1005" s="11" t="n">
        <f aca="false">P1005-Q1005</f>
        <v>400000</v>
      </c>
      <c r="S1005" s="11" t="n">
        <f aca="false">IF(Calculator!$B$6="Yes",MIN(Q1005,'Tax Tables'!$B$31*'Tax Tables'!$B$32),0)</f>
        <v>96000</v>
      </c>
      <c r="T1005" s="11" t="n">
        <f aca="false">S1005*Calculator!$B$7</f>
        <v>19200</v>
      </c>
      <c r="U1005" s="11" t="n">
        <f aca="false">S1005*Calculator!$B$8</f>
        <v>16320</v>
      </c>
      <c r="V1005" s="11" t="n">
        <f aca="false">IF(Q1005&gt;0,'Tax Tables'!$B$32*MIN(MAX(Q1005/'Tax Tables'!$B$32*'Tax Tables'!$B$33,'Tax Tables'!$B$34),'Tax Tables'!$B$35),0)</f>
        <v>135</v>
      </c>
      <c r="W1005" s="11" t="n">
        <f aca="false">Calculator!$B$5-P1005-U1005-V1005</f>
        <v>-112455</v>
      </c>
      <c r="X1005" s="11" t="n">
        <f aca="false">'Tax Tables'!$B$22*(MAX(W1005,0)-IF(Calculator!$B$10="Yes",MIN(MAX(W1005,0),'Tax Tables'!$B$27)*'Tax Tables'!$B$28+MIN(MAX(MAX(W1005,0)-'Tax Tables'!$B$27,0),'Tax Tables'!$B$29)*'Tax Tables'!$B$30,MIN(MAX(W1005,0),'Tax Tables'!$B$23)*'Tax Tables'!$B$24+MIN(MAX(MAX(W1005,0)-'Tax Tables'!$B$23,0),'Tax Tables'!$B$25)*'Tax Tables'!$B$26))*1-MIN('Tax Tables'!$B$22*(MAX(W1005,0)-IF(Calculator!$B$10="Yes",MIN(MAX(W1005,0),'Tax Tables'!$B$27)*'Tax Tables'!$B$28+MIN(MAX(MAX(W1005,0)-'Tax Tables'!$B$27,0),'Tax Tables'!$B$29)*'Tax Tables'!$B$30,MIN(MAX(W1005,0),'Tax Tables'!$B$23)*'Tax Tables'!$B$24+MIN(MAX(MAX(W1005,0)-'Tax Tables'!$B$23,0),'Tax Tables'!$B$25)*'Tax Tables'!$B$26))*Calculator!$B$11,Calculator!$B$12)</f>
        <v>0</v>
      </c>
      <c r="Y1005" s="11" t="n">
        <f aca="false">MAX(W1005,0)-X1005</f>
        <v>0</v>
      </c>
      <c r="Z1005" s="11" t="n">
        <f aca="false">MIN(IF(P1005&gt;0,Calculator!$B$13,0)+T1005+Calculator!$B$14,'Tax Tables'!$B$36)</f>
        <v>20200</v>
      </c>
      <c r="AA1005" s="11" t="n">
        <f aca="false">MAX(P1005-Z1005,0)</f>
        <v>475800</v>
      </c>
      <c r="AB1005" s="11" t="n">
        <f aca="false">SUMPRODUCT((AA1005&gt;'Tax Tables'!$A$5:$A$17)*(AA1005-'Tax Tables'!$A$5:$A$17)*'Tax Tables'!$C$5:$C$17)</f>
        <v>78826</v>
      </c>
      <c r="AC1005" s="11" t="n">
        <f aca="false">IF(W1005&lt;0,-1E+099,P1005-T1005-AB1005+Y1005+(T1005+U1005)*Calculator!$B$9)</f>
        <v>-1E+099</v>
      </c>
    </row>
    <row r="1006" customFormat="false" ht="15" hidden="false" customHeight="false" outlineLevel="0" collapsed="false">
      <c r="A1006" s="11" t="n">
        <f aca="false">993*$B$3</f>
        <v>496500</v>
      </c>
      <c r="B1006" s="11" t="n">
        <f aca="false">0</f>
        <v>0</v>
      </c>
      <c r="C1006" s="11" t="n">
        <f aca="false">A1006-B1006</f>
        <v>496500</v>
      </c>
      <c r="D1006" s="11" t="n">
        <f aca="false">IF(Calculator!$B$6="Yes",MIN(B1006,'Tax Tables'!$B$31*'Tax Tables'!$B$32),0)</f>
        <v>0</v>
      </c>
      <c r="E1006" s="11" t="n">
        <f aca="false">D1006*Calculator!$B$7</f>
        <v>0</v>
      </c>
      <c r="F1006" s="11" t="n">
        <f aca="false">D1006*Calculator!$B$8</f>
        <v>0</v>
      </c>
      <c r="G1006" s="11" t="n">
        <f aca="false">IF(B1006&gt;0,'Tax Tables'!$B$32*MIN(MAX(B1006/'Tax Tables'!$B$32*'Tax Tables'!$B$33,'Tax Tables'!$B$34),'Tax Tables'!$B$35),0)</f>
        <v>0</v>
      </c>
      <c r="H1006" s="11" t="n">
        <f aca="false">Calculator!$B$5-A1006-F1006-G1006</f>
        <v>-96500</v>
      </c>
      <c r="I1006" s="11" t="n">
        <f aca="false">'Tax Tables'!$B$22*(MAX(H1006,0)-IF(Calculator!$B$10="Yes",MIN(MAX(H1006,0),'Tax Tables'!$B$27)*'Tax Tables'!$B$28+MIN(MAX(MAX(H1006,0)-'Tax Tables'!$B$27,0),'Tax Tables'!$B$29)*'Tax Tables'!$B$30,MIN(MAX(H1006,0),'Tax Tables'!$B$23)*'Tax Tables'!$B$24+MIN(MAX(MAX(H1006,0)-'Tax Tables'!$B$23,0),'Tax Tables'!$B$25)*'Tax Tables'!$B$26))*1-MIN('Tax Tables'!$B$22*(MAX(H1006,0)-IF(Calculator!$B$10="Yes",MIN(MAX(H1006,0),'Tax Tables'!$B$27)*'Tax Tables'!$B$28+MIN(MAX(MAX(H1006,0)-'Tax Tables'!$B$27,0),'Tax Tables'!$B$29)*'Tax Tables'!$B$30,MIN(MAX(H1006,0),'Tax Tables'!$B$23)*'Tax Tables'!$B$24+MIN(MAX(MAX(H1006,0)-'Tax Tables'!$B$23,0),'Tax Tables'!$B$25)*'Tax Tables'!$B$26))*Calculator!$B$11,Calculator!$B$12)</f>
        <v>0</v>
      </c>
      <c r="J1006" s="11" t="n">
        <f aca="false">MAX(H1006,0)-I1006</f>
        <v>0</v>
      </c>
      <c r="K1006" s="11" t="n">
        <f aca="false">MIN(IF(A1006&gt;0,Calculator!$B$13,0)+E1006+Calculator!$B$14,'Tax Tables'!$B$36)</f>
        <v>1000</v>
      </c>
      <c r="L1006" s="11" t="n">
        <f aca="false">MAX(A1006-K1006,0)</f>
        <v>495500</v>
      </c>
      <c r="M1006" s="11" t="n">
        <f aca="false">SUMPRODUCT((L1006&gt;'Tax Tables'!$A$5:$A$17)*(L1006-'Tax Tables'!$A$5:$A$17)*'Tax Tables'!$C$5:$C$17)</f>
        <v>83160</v>
      </c>
      <c r="N1006" s="11" t="n">
        <f aca="false">IF(H1006&lt;0,-1E+099,A1006-E1006-M1006+J1006+(E1006+F1006)*Calculator!$B$9)</f>
        <v>-1E+099</v>
      </c>
      <c r="O1006" s="2"/>
      <c r="P1006" s="11" t="n">
        <f aca="false">993*$B$3</f>
        <v>496500</v>
      </c>
      <c r="Q1006" s="11" t="n">
        <f aca="false">MIN(P1006,'Tax Tables'!$B$31*'Tax Tables'!$B$32)</f>
        <v>96000</v>
      </c>
      <c r="R1006" s="11" t="n">
        <f aca="false">P1006-Q1006</f>
        <v>400500</v>
      </c>
      <c r="S1006" s="11" t="n">
        <f aca="false">IF(Calculator!$B$6="Yes",MIN(Q1006,'Tax Tables'!$B$31*'Tax Tables'!$B$32),0)</f>
        <v>96000</v>
      </c>
      <c r="T1006" s="11" t="n">
        <f aca="false">S1006*Calculator!$B$7</f>
        <v>19200</v>
      </c>
      <c r="U1006" s="11" t="n">
        <f aca="false">S1006*Calculator!$B$8</f>
        <v>16320</v>
      </c>
      <c r="V1006" s="11" t="n">
        <f aca="false">IF(Q1006&gt;0,'Tax Tables'!$B$32*MIN(MAX(Q1006/'Tax Tables'!$B$32*'Tax Tables'!$B$33,'Tax Tables'!$B$34),'Tax Tables'!$B$35),0)</f>
        <v>135</v>
      </c>
      <c r="W1006" s="11" t="n">
        <f aca="false">Calculator!$B$5-P1006-U1006-V1006</f>
        <v>-112955</v>
      </c>
      <c r="X1006" s="11" t="n">
        <f aca="false">'Tax Tables'!$B$22*(MAX(W1006,0)-IF(Calculator!$B$10="Yes",MIN(MAX(W1006,0),'Tax Tables'!$B$27)*'Tax Tables'!$B$28+MIN(MAX(MAX(W1006,0)-'Tax Tables'!$B$27,0),'Tax Tables'!$B$29)*'Tax Tables'!$B$30,MIN(MAX(W1006,0),'Tax Tables'!$B$23)*'Tax Tables'!$B$24+MIN(MAX(MAX(W1006,0)-'Tax Tables'!$B$23,0),'Tax Tables'!$B$25)*'Tax Tables'!$B$26))*1-MIN('Tax Tables'!$B$22*(MAX(W1006,0)-IF(Calculator!$B$10="Yes",MIN(MAX(W1006,0),'Tax Tables'!$B$27)*'Tax Tables'!$B$28+MIN(MAX(MAX(W1006,0)-'Tax Tables'!$B$27,0),'Tax Tables'!$B$29)*'Tax Tables'!$B$30,MIN(MAX(W1006,0),'Tax Tables'!$B$23)*'Tax Tables'!$B$24+MIN(MAX(MAX(W1006,0)-'Tax Tables'!$B$23,0),'Tax Tables'!$B$25)*'Tax Tables'!$B$26))*Calculator!$B$11,Calculator!$B$12)</f>
        <v>0</v>
      </c>
      <c r="Y1006" s="11" t="n">
        <f aca="false">MAX(W1006,0)-X1006</f>
        <v>0</v>
      </c>
      <c r="Z1006" s="11" t="n">
        <f aca="false">MIN(IF(P1006&gt;0,Calculator!$B$13,0)+T1006+Calculator!$B$14,'Tax Tables'!$B$36)</f>
        <v>20200</v>
      </c>
      <c r="AA1006" s="11" t="n">
        <f aca="false">MAX(P1006-Z1006,0)</f>
        <v>476300</v>
      </c>
      <c r="AB1006" s="11" t="n">
        <f aca="false">SUMPRODUCT((AA1006&gt;'Tax Tables'!$A$5:$A$17)*(AA1006-'Tax Tables'!$A$5:$A$17)*'Tax Tables'!$C$5:$C$17)</f>
        <v>78936</v>
      </c>
      <c r="AC1006" s="11" t="n">
        <f aca="false">IF(W1006&lt;0,-1E+099,P1006-T1006-AB1006+Y1006+(T1006+U1006)*Calculator!$B$9)</f>
        <v>-1E+099</v>
      </c>
    </row>
    <row r="1007" customFormat="false" ht="15" hidden="false" customHeight="false" outlineLevel="0" collapsed="false">
      <c r="A1007" s="11" t="n">
        <f aca="false">994*$B$3</f>
        <v>497000</v>
      </c>
      <c r="B1007" s="11" t="n">
        <f aca="false">0</f>
        <v>0</v>
      </c>
      <c r="C1007" s="11" t="n">
        <f aca="false">A1007-B1007</f>
        <v>497000</v>
      </c>
      <c r="D1007" s="11" t="n">
        <f aca="false">IF(Calculator!$B$6="Yes",MIN(B1007,'Tax Tables'!$B$31*'Tax Tables'!$B$32),0)</f>
        <v>0</v>
      </c>
      <c r="E1007" s="11" t="n">
        <f aca="false">D1007*Calculator!$B$7</f>
        <v>0</v>
      </c>
      <c r="F1007" s="11" t="n">
        <f aca="false">D1007*Calculator!$B$8</f>
        <v>0</v>
      </c>
      <c r="G1007" s="11" t="n">
        <f aca="false">IF(B1007&gt;0,'Tax Tables'!$B$32*MIN(MAX(B1007/'Tax Tables'!$B$32*'Tax Tables'!$B$33,'Tax Tables'!$B$34),'Tax Tables'!$B$35),0)</f>
        <v>0</v>
      </c>
      <c r="H1007" s="11" t="n">
        <f aca="false">Calculator!$B$5-A1007-F1007-G1007</f>
        <v>-97000</v>
      </c>
      <c r="I1007" s="11" t="n">
        <f aca="false">'Tax Tables'!$B$22*(MAX(H1007,0)-IF(Calculator!$B$10="Yes",MIN(MAX(H1007,0),'Tax Tables'!$B$27)*'Tax Tables'!$B$28+MIN(MAX(MAX(H1007,0)-'Tax Tables'!$B$27,0),'Tax Tables'!$B$29)*'Tax Tables'!$B$30,MIN(MAX(H1007,0),'Tax Tables'!$B$23)*'Tax Tables'!$B$24+MIN(MAX(MAX(H1007,0)-'Tax Tables'!$B$23,0),'Tax Tables'!$B$25)*'Tax Tables'!$B$26))*1-MIN('Tax Tables'!$B$22*(MAX(H1007,0)-IF(Calculator!$B$10="Yes",MIN(MAX(H1007,0),'Tax Tables'!$B$27)*'Tax Tables'!$B$28+MIN(MAX(MAX(H1007,0)-'Tax Tables'!$B$27,0),'Tax Tables'!$B$29)*'Tax Tables'!$B$30,MIN(MAX(H1007,0),'Tax Tables'!$B$23)*'Tax Tables'!$B$24+MIN(MAX(MAX(H1007,0)-'Tax Tables'!$B$23,0),'Tax Tables'!$B$25)*'Tax Tables'!$B$26))*Calculator!$B$11,Calculator!$B$12)</f>
        <v>0</v>
      </c>
      <c r="J1007" s="11" t="n">
        <f aca="false">MAX(H1007,0)-I1007</f>
        <v>0</v>
      </c>
      <c r="K1007" s="11" t="n">
        <f aca="false">MIN(IF(A1007&gt;0,Calculator!$B$13,0)+E1007+Calculator!$B$14,'Tax Tables'!$B$36)</f>
        <v>1000</v>
      </c>
      <c r="L1007" s="11" t="n">
        <f aca="false">MAX(A1007-K1007,0)</f>
        <v>496000</v>
      </c>
      <c r="M1007" s="11" t="n">
        <f aca="false">SUMPRODUCT((L1007&gt;'Tax Tables'!$A$5:$A$17)*(L1007-'Tax Tables'!$A$5:$A$17)*'Tax Tables'!$C$5:$C$17)</f>
        <v>83270</v>
      </c>
      <c r="N1007" s="11" t="n">
        <f aca="false">IF(H1007&lt;0,-1E+099,A1007-E1007-M1007+J1007+(E1007+F1007)*Calculator!$B$9)</f>
        <v>-1E+099</v>
      </c>
      <c r="O1007" s="2"/>
      <c r="P1007" s="11" t="n">
        <f aca="false">994*$B$3</f>
        <v>497000</v>
      </c>
      <c r="Q1007" s="11" t="n">
        <f aca="false">MIN(P1007,'Tax Tables'!$B$31*'Tax Tables'!$B$32)</f>
        <v>96000</v>
      </c>
      <c r="R1007" s="11" t="n">
        <f aca="false">P1007-Q1007</f>
        <v>401000</v>
      </c>
      <c r="S1007" s="11" t="n">
        <f aca="false">IF(Calculator!$B$6="Yes",MIN(Q1007,'Tax Tables'!$B$31*'Tax Tables'!$B$32),0)</f>
        <v>96000</v>
      </c>
      <c r="T1007" s="11" t="n">
        <f aca="false">S1007*Calculator!$B$7</f>
        <v>19200</v>
      </c>
      <c r="U1007" s="11" t="n">
        <f aca="false">S1007*Calculator!$B$8</f>
        <v>16320</v>
      </c>
      <c r="V1007" s="11" t="n">
        <f aca="false">IF(Q1007&gt;0,'Tax Tables'!$B$32*MIN(MAX(Q1007/'Tax Tables'!$B$32*'Tax Tables'!$B$33,'Tax Tables'!$B$34),'Tax Tables'!$B$35),0)</f>
        <v>135</v>
      </c>
      <c r="W1007" s="11" t="n">
        <f aca="false">Calculator!$B$5-P1007-U1007-V1007</f>
        <v>-113455</v>
      </c>
      <c r="X1007" s="11" t="n">
        <f aca="false">'Tax Tables'!$B$22*(MAX(W1007,0)-IF(Calculator!$B$10="Yes",MIN(MAX(W1007,0),'Tax Tables'!$B$27)*'Tax Tables'!$B$28+MIN(MAX(MAX(W1007,0)-'Tax Tables'!$B$27,0),'Tax Tables'!$B$29)*'Tax Tables'!$B$30,MIN(MAX(W1007,0),'Tax Tables'!$B$23)*'Tax Tables'!$B$24+MIN(MAX(MAX(W1007,0)-'Tax Tables'!$B$23,0),'Tax Tables'!$B$25)*'Tax Tables'!$B$26))*1-MIN('Tax Tables'!$B$22*(MAX(W1007,0)-IF(Calculator!$B$10="Yes",MIN(MAX(W1007,0),'Tax Tables'!$B$27)*'Tax Tables'!$B$28+MIN(MAX(MAX(W1007,0)-'Tax Tables'!$B$27,0),'Tax Tables'!$B$29)*'Tax Tables'!$B$30,MIN(MAX(W1007,0),'Tax Tables'!$B$23)*'Tax Tables'!$B$24+MIN(MAX(MAX(W1007,0)-'Tax Tables'!$B$23,0),'Tax Tables'!$B$25)*'Tax Tables'!$B$26))*Calculator!$B$11,Calculator!$B$12)</f>
        <v>0</v>
      </c>
      <c r="Y1007" s="11" t="n">
        <f aca="false">MAX(W1007,0)-X1007</f>
        <v>0</v>
      </c>
      <c r="Z1007" s="11" t="n">
        <f aca="false">MIN(IF(P1007&gt;0,Calculator!$B$13,0)+T1007+Calculator!$B$14,'Tax Tables'!$B$36)</f>
        <v>20200</v>
      </c>
      <c r="AA1007" s="11" t="n">
        <f aca="false">MAX(P1007-Z1007,0)</f>
        <v>476800</v>
      </c>
      <c r="AB1007" s="11" t="n">
        <f aca="false">SUMPRODUCT((AA1007&gt;'Tax Tables'!$A$5:$A$17)*(AA1007-'Tax Tables'!$A$5:$A$17)*'Tax Tables'!$C$5:$C$17)</f>
        <v>79046</v>
      </c>
      <c r="AC1007" s="11" t="n">
        <f aca="false">IF(W1007&lt;0,-1E+099,P1007-T1007-AB1007+Y1007+(T1007+U1007)*Calculator!$B$9)</f>
        <v>-1E+099</v>
      </c>
    </row>
    <row r="1008" customFormat="false" ht="15" hidden="false" customHeight="false" outlineLevel="0" collapsed="false">
      <c r="A1008" s="11" t="n">
        <f aca="false">995*$B$3</f>
        <v>497500</v>
      </c>
      <c r="B1008" s="11" t="n">
        <f aca="false">0</f>
        <v>0</v>
      </c>
      <c r="C1008" s="11" t="n">
        <f aca="false">A1008-B1008</f>
        <v>497500</v>
      </c>
      <c r="D1008" s="11" t="n">
        <f aca="false">IF(Calculator!$B$6="Yes",MIN(B1008,'Tax Tables'!$B$31*'Tax Tables'!$B$32),0)</f>
        <v>0</v>
      </c>
      <c r="E1008" s="11" t="n">
        <f aca="false">D1008*Calculator!$B$7</f>
        <v>0</v>
      </c>
      <c r="F1008" s="11" t="n">
        <f aca="false">D1008*Calculator!$B$8</f>
        <v>0</v>
      </c>
      <c r="G1008" s="11" t="n">
        <f aca="false">IF(B1008&gt;0,'Tax Tables'!$B$32*MIN(MAX(B1008/'Tax Tables'!$B$32*'Tax Tables'!$B$33,'Tax Tables'!$B$34),'Tax Tables'!$B$35),0)</f>
        <v>0</v>
      </c>
      <c r="H1008" s="11" t="n">
        <f aca="false">Calculator!$B$5-A1008-F1008-G1008</f>
        <v>-97500</v>
      </c>
      <c r="I1008" s="11" t="n">
        <f aca="false">'Tax Tables'!$B$22*(MAX(H1008,0)-IF(Calculator!$B$10="Yes",MIN(MAX(H1008,0),'Tax Tables'!$B$27)*'Tax Tables'!$B$28+MIN(MAX(MAX(H1008,0)-'Tax Tables'!$B$27,0),'Tax Tables'!$B$29)*'Tax Tables'!$B$30,MIN(MAX(H1008,0),'Tax Tables'!$B$23)*'Tax Tables'!$B$24+MIN(MAX(MAX(H1008,0)-'Tax Tables'!$B$23,0),'Tax Tables'!$B$25)*'Tax Tables'!$B$26))*1-MIN('Tax Tables'!$B$22*(MAX(H1008,0)-IF(Calculator!$B$10="Yes",MIN(MAX(H1008,0),'Tax Tables'!$B$27)*'Tax Tables'!$B$28+MIN(MAX(MAX(H1008,0)-'Tax Tables'!$B$27,0),'Tax Tables'!$B$29)*'Tax Tables'!$B$30,MIN(MAX(H1008,0),'Tax Tables'!$B$23)*'Tax Tables'!$B$24+MIN(MAX(MAX(H1008,0)-'Tax Tables'!$B$23,0),'Tax Tables'!$B$25)*'Tax Tables'!$B$26))*Calculator!$B$11,Calculator!$B$12)</f>
        <v>0</v>
      </c>
      <c r="J1008" s="11" t="n">
        <f aca="false">MAX(H1008,0)-I1008</f>
        <v>0</v>
      </c>
      <c r="K1008" s="11" t="n">
        <f aca="false">MIN(IF(A1008&gt;0,Calculator!$B$13,0)+E1008+Calculator!$B$14,'Tax Tables'!$B$36)</f>
        <v>1000</v>
      </c>
      <c r="L1008" s="11" t="n">
        <f aca="false">MAX(A1008-K1008,0)</f>
        <v>496500</v>
      </c>
      <c r="M1008" s="11" t="n">
        <f aca="false">SUMPRODUCT((L1008&gt;'Tax Tables'!$A$5:$A$17)*(L1008-'Tax Tables'!$A$5:$A$17)*'Tax Tables'!$C$5:$C$17)</f>
        <v>83380</v>
      </c>
      <c r="N1008" s="11" t="n">
        <f aca="false">IF(H1008&lt;0,-1E+099,A1008-E1008-M1008+J1008+(E1008+F1008)*Calculator!$B$9)</f>
        <v>-1E+099</v>
      </c>
      <c r="O1008" s="2"/>
      <c r="P1008" s="11" t="n">
        <f aca="false">995*$B$3</f>
        <v>497500</v>
      </c>
      <c r="Q1008" s="11" t="n">
        <f aca="false">MIN(P1008,'Tax Tables'!$B$31*'Tax Tables'!$B$32)</f>
        <v>96000</v>
      </c>
      <c r="R1008" s="11" t="n">
        <f aca="false">P1008-Q1008</f>
        <v>401500</v>
      </c>
      <c r="S1008" s="11" t="n">
        <f aca="false">IF(Calculator!$B$6="Yes",MIN(Q1008,'Tax Tables'!$B$31*'Tax Tables'!$B$32),0)</f>
        <v>96000</v>
      </c>
      <c r="T1008" s="11" t="n">
        <f aca="false">S1008*Calculator!$B$7</f>
        <v>19200</v>
      </c>
      <c r="U1008" s="11" t="n">
        <f aca="false">S1008*Calculator!$B$8</f>
        <v>16320</v>
      </c>
      <c r="V1008" s="11" t="n">
        <f aca="false">IF(Q1008&gt;0,'Tax Tables'!$B$32*MIN(MAX(Q1008/'Tax Tables'!$B$32*'Tax Tables'!$B$33,'Tax Tables'!$B$34),'Tax Tables'!$B$35),0)</f>
        <v>135</v>
      </c>
      <c r="W1008" s="11" t="n">
        <f aca="false">Calculator!$B$5-P1008-U1008-V1008</f>
        <v>-113955</v>
      </c>
      <c r="X1008" s="11" t="n">
        <f aca="false">'Tax Tables'!$B$22*(MAX(W1008,0)-IF(Calculator!$B$10="Yes",MIN(MAX(W1008,0),'Tax Tables'!$B$27)*'Tax Tables'!$B$28+MIN(MAX(MAX(W1008,0)-'Tax Tables'!$B$27,0),'Tax Tables'!$B$29)*'Tax Tables'!$B$30,MIN(MAX(W1008,0),'Tax Tables'!$B$23)*'Tax Tables'!$B$24+MIN(MAX(MAX(W1008,0)-'Tax Tables'!$B$23,0),'Tax Tables'!$B$25)*'Tax Tables'!$B$26))*1-MIN('Tax Tables'!$B$22*(MAX(W1008,0)-IF(Calculator!$B$10="Yes",MIN(MAX(W1008,0),'Tax Tables'!$B$27)*'Tax Tables'!$B$28+MIN(MAX(MAX(W1008,0)-'Tax Tables'!$B$27,0),'Tax Tables'!$B$29)*'Tax Tables'!$B$30,MIN(MAX(W1008,0),'Tax Tables'!$B$23)*'Tax Tables'!$B$24+MIN(MAX(MAX(W1008,0)-'Tax Tables'!$B$23,0),'Tax Tables'!$B$25)*'Tax Tables'!$B$26))*Calculator!$B$11,Calculator!$B$12)</f>
        <v>0</v>
      </c>
      <c r="Y1008" s="11" t="n">
        <f aca="false">MAX(W1008,0)-X1008</f>
        <v>0</v>
      </c>
      <c r="Z1008" s="11" t="n">
        <f aca="false">MIN(IF(P1008&gt;0,Calculator!$B$13,0)+T1008+Calculator!$B$14,'Tax Tables'!$B$36)</f>
        <v>20200</v>
      </c>
      <c r="AA1008" s="11" t="n">
        <f aca="false">MAX(P1008-Z1008,0)</f>
        <v>477300</v>
      </c>
      <c r="AB1008" s="11" t="n">
        <f aca="false">SUMPRODUCT((AA1008&gt;'Tax Tables'!$A$5:$A$17)*(AA1008-'Tax Tables'!$A$5:$A$17)*'Tax Tables'!$C$5:$C$17)</f>
        <v>79156</v>
      </c>
      <c r="AC1008" s="11" t="n">
        <f aca="false">IF(W1008&lt;0,-1E+099,P1008-T1008-AB1008+Y1008+(T1008+U1008)*Calculator!$B$9)</f>
        <v>-1E+099</v>
      </c>
    </row>
    <row r="1009" customFormat="false" ht="15" hidden="false" customHeight="false" outlineLevel="0" collapsed="false">
      <c r="A1009" s="11" t="n">
        <f aca="false">996*$B$3</f>
        <v>498000</v>
      </c>
      <c r="B1009" s="11" t="n">
        <f aca="false">0</f>
        <v>0</v>
      </c>
      <c r="C1009" s="11" t="n">
        <f aca="false">A1009-B1009</f>
        <v>498000</v>
      </c>
      <c r="D1009" s="11" t="n">
        <f aca="false">IF(Calculator!$B$6="Yes",MIN(B1009,'Tax Tables'!$B$31*'Tax Tables'!$B$32),0)</f>
        <v>0</v>
      </c>
      <c r="E1009" s="11" t="n">
        <f aca="false">D1009*Calculator!$B$7</f>
        <v>0</v>
      </c>
      <c r="F1009" s="11" t="n">
        <f aca="false">D1009*Calculator!$B$8</f>
        <v>0</v>
      </c>
      <c r="G1009" s="11" t="n">
        <f aca="false">IF(B1009&gt;0,'Tax Tables'!$B$32*MIN(MAX(B1009/'Tax Tables'!$B$32*'Tax Tables'!$B$33,'Tax Tables'!$B$34),'Tax Tables'!$B$35),0)</f>
        <v>0</v>
      </c>
      <c r="H1009" s="11" t="n">
        <f aca="false">Calculator!$B$5-A1009-F1009-G1009</f>
        <v>-98000</v>
      </c>
      <c r="I1009" s="11" t="n">
        <f aca="false">'Tax Tables'!$B$22*(MAX(H1009,0)-IF(Calculator!$B$10="Yes",MIN(MAX(H1009,0),'Tax Tables'!$B$27)*'Tax Tables'!$B$28+MIN(MAX(MAX(H1009,0)-'Tax Tables'!$B$27,0),'Tax Tables'!$B$29)*'Tax Tables'!$B$30,MIN(MAX(H1009,0),'Tax Tables'!$B$23)*'Tax Tables'!$B$24+MIN(MAX(MAX(H1009,0)-'Tax Tables'!$B$23,0),'Tax Tables'!$B$25)*'Tax Tables'!$B$26))*1-MIN('Tax Tables'!$B$22*(MAX(H1009,0)-IF(Calculator!$B$10="Yes",MIN(MAX(H1009,0),'Tax Tables'!$B$27)*'Tax Tables'!$B$28+MIN(MAX(MAX(H1009,0)-'Tax Tables'!$B$27,0),'Tax Tables'!$B$29)*'Tax Tables'!$B$30,MIN(MAX(H1009,0),'Tax Tables'!$B$23)*'Tax Tables'!$B$24+MIN(MAX(MAX(H1009,0)-'Tax Tables'!$B$23,0),'Tax Tables'!$B$25)*'Tax Tables'!$B$26))*Calculator!$B$11,Calculator!$B$12)</f>
        <v>0</v>
      </c>
      <c r="J1009" s="11" t="n">
        <f aca="false">MAX(H1009,0)-I1009</f>
        <v>0</v>
      </c>
      <c r="K1009" s="11" t="n">
        <f aca="false">MIN(IF(A1009&gt;0,Calculator!$B$13,0)+E1009+Calculator!$B$14,'Tax Tables'!$B$36)</f>
        <v>1000</v>
      </c>
      <c r="L1009" s="11" t="n">
        <f aca="false">MAX(A1009-K1009,0)</f>
        <v>497000</v>
      </c>
      <c r="M1009" s="11" t="n">
        <f aca="false">SUMPRODUCT((L1009&gt;'Tax Tables'!$A$5:$A$17)*(L1009-'Tax Tables'!$A$5:$A$17)*'Tax Tables'!$C$5:$C$17)</f>
        <v>83490</v>
      </c>
      <c r="N1009" s="11" t="n">
        <f aca="false">IF(H1009&lt;0,-1E+099,A1009-E1009-M1009+J1009+(E1009+F1009)*Calculator!$B$9)</f>
        <v>-1E+099</v>
      </c>
      <c r="O1009" s="2"/>
      <c r="P1009" s="11" t="n">
        <f aca="false">996*$B$3</f>
        <v>498000</v>
      </c>
      <c r="Q1009" s="11" t="n">
        <f aca="false">MIN(P1009,'Tax Tables'!$B$31*'Tax Tables'!$B$32)</f>
        <v>96000</v>
      </c>
      <c r="R1009" s="11" t="n">
        <f aca="false">P1009-Q1009</f>
        <v>402000</v>
      </c>
      <c r="S1009" s="11" t="n">
        <f aca="false">IF(Calculator!$B$6="Yes",MIN(Q1009,'Tax Tables'!$B$31*'Tax Tables'!$B$32),0)</f>
        <v>96000</v>
      </c>
      <c r="T1009" s="11" t="n">
        <f aca="false">S1009*Calculator!$B$7</f>
        <v>19200</v>
      </c>
      <c r="U1009" s="11" t="n">
        <f aca="false">S1009*Calculator!$B$8</f>
        <v>16320</v>
      </c>
      <c r="V1009" s="11" t="n">
        <f aca="false">IF(Q1009&gt;0,'Tax Tables'!$B$32*MIN(MAX(Q1009/'Tax Tables'!$B$32*'Tax Tables'!$B$33,'Tax Tables'!$B$34),'Tax Tables'!$B$35),0)</f>
        <v>135</v>
      </c>
      <c r="W1009" s="11" t="n">
        <f aca="false">Calculator!$B$5-P1009-U1009-V1009</f>
        <v>-114455</v>
      </c>
      <c r="X1009" s="11" t="n">
        <f aca="false">'Tax Tables'!$B$22*(MAX(W1009,0)-IF(Calculator!$B$10="Yes",MIN(MAX(W1009,0),'Tax Tables'!$B$27)*'Tax Tables'!$B$28+MIN(MAX(MAX(W1009,0)-'Tax Tables'!$B$27,0),'Tax Tables'!$B$29)*'Tax Tables'!$B$30,MIN(MAX(W1009,0),'Tax Tables'!$B$23)*'Tax Tables'!$B$24+MIN(MAX(MAX(W1009,0)-'Tax Tables'!$B$23,0),'Tax Tables'!$B$25)*'Tax Tables'!$B$26))*1-MIN('Tax Tables'!$B$22*(MAX(W1009,0)-IF(Calculator!$B$10="Yes",MIN(MAX(W1009,0),'Tax Tables'!$B$27)*'Tax Tables'!$B$28+MIN(MAX(MAX(W1009,0)-'Tax Tables'!$B$27,0),'Tax Tables'!$B$29)*'Tax Tables'!$B$30,MIN(MAX(W1009,0),'Tax Tables'!$B$23)*'Tax Tables'!$B$24+MIN(MAX(MAX(W1009,0)-'Tax Tables'!$B$23,0),'Tax Tables'!$B$25)*'Tax Tables'!$B$26))*Calculator!$B$11,Calculator!$B$12)</f>
        <v>0</v>
      </c>
      <c r="Y1009" s="11" t="n">
        <f aca="false">MAX(W1009,0)-X1009</f>
        <v>0</v>
      </c>
      <c r="Z1009" s="11" t="n">
        <f aca="false">MIN(IF(P1009&gt;0,Calculator!$B$13,0)+T1009+Calculator!$B$14,'Tax Tables'!$B$36)</f>
        <v>20200</v>
      </c>
      <c r="AA1009" s="11" t="n">
        <f aca="false">MAX(P1009-Z1009,0)</f>
        <v>477800</v>
      </c>
      <c r="AB1009" s="11" t="n">
        <f aca="false">SUMPRODUCT((AA1009&gt;'Tax Tables'!$A$5:$A$17)*(AA1009-'Tax Tables'!$A$5:$A$17)*'Tax Tables'!$C$5:$C$17)</f>
        <v>79266</v>
      </c>
      <c r="AC1009" s="11" t="n">
        <f aca="false">IF(W1009&lt;0,-1E+099,P1009-T1009-AB1009+Y1009+(T1009+U1009)*Calculator!$B$9)</f>
        <v>-1E+099</v>
      </c>
    </row>
    <row r="1010" customFormat="false" ht="15" hidden="false" customHeight="false" outlineLevel="0" collapsed="false">
      <c r="A1010" s="11" t="n">
        <f aca="false">997*$B$3</f>
        <v>498500</v>
      </c>
      <c r="B1010" s="11" t="n">
        <f aca="false">0</f>
        <v>0</v>
      </c>
      <c r="C1010" s="11" t="n">
        <f aca="false">A1010-B1010</f>
        <v>498500</v>
      </c>
      <c r="D1010" s="11" t="n">
        <f aca="false">IF(Calculator!$B$6="Yes",MIN(B1010,'Tax Tables'!$B$31*'Tax Tables'!$B$32),0)</f>
        <v>0</v>
      </c>
      <c r="E1010" s="11" t="n">
        <f aca="false">D1010*Calculator!$B$7</f>
        <v>0</v>
      </c>
      <c r="F1010" s="11" t="n">
        <f aca="false">D1010*Calculator!$B$8</f>
        <v>0</v>
      </c>
      <c r="G1010" s="11" t="n">
        <f aca="false">IF(B1010&gt;0,'Tax Tables'!$B$32*MIN(MAX(B1010/'Tax Tables'!$B$32*'Tax Tables'!$B$33,'Tax Tables'!$B$34),'Tax Tables'!$B$35),0)</f>
        <v>0</v>
      </c>
      <c r="H1010" s="11" t="n">
        <f aca="false">Calculator!$B$5-A1010-F1010-G1010</f>
        <v>-98500</v>
      </c>
      <c r="I1010" s="11" t="n">
        <f aca="false">'Tax Tables'!$B$22*(MAX(H1010,0)-IF(Calculator!$B$10="Yes",MIN(MAX(H1010,0),'Tax Tables'!$B$27)*'Tax Tables'!$B$28+MIN(MAX(MAX(H1010,0)-'Tax Tables'!$B$27,0),'Tax Tables'!$B$29)*'Tax Tables'!$B$30,MIN(MAX(H1010,0),'Tax Tables'!$B$23)*'Tax Tables'!$B$24+MIN(MAX(MAX(H1010,0)-'Tax Tables'!$B$23,0),'Tax Tables'!$B$25)*'Tax Tables'!$B$26))*1-MIN('Tax Tables'!$B$22*(MAX(H1010,0)-IF(Calculator!$B$10="Yes",MIN(MAX(H1010,0),'Tax Tables'!$B$27)*'Tax Tables'!$B$28+MIN(MAX(MAX(H1010,0)-'Tax Tables'!$B$27,0),'Tax Tables'!$B$29)*'Tax Tables'!$B$30,MIN(MAX(H1010,0),'Tax Tables'!$B$23)*'Tax Tables'!$B$24+MIN(MAX(MAX(H1010,0)-'Tax Tables'!$B$23,0),'Tax Tables'!$B$25)*'Tax Tables'!$B$26))*Calculator!$B$11,Calculator!$B$12)</f>
        <v>0</v>
      </c>
      <c r="J1010" s="11" t="n">
        <f aca="false">MAX(H1010,0)-I1010</f>
        <v>0</v>
      </c>
      <c r="K1010" s="11" t="n">
        <f aca="false">MIN(IF(A1010&gt;0,Calculator!$B$13,0)+E1010+Calculator!$B$14,'Tax Tables'!$B$36)</f>
        <v>1000</v>
      </c>
      <c r="L1010" s="11" t="n">
        <f aca="false">MAX(A1010-K1010,0)</f>
        <v>497500</v>
      </c>
      <c r="M1010" s="11" t="n">
        <f aca="false">SUMPRODUCT((L1010&gt;'Tax Tables'!$A$5:$A$17)*(L1010-'Tax Tables'!$A$5:$A$17)*'Tax Tables'!$C$5:$C$17)</f>
        <v>83600</v>
      </c>
      <c r="N1010" s="11" t="n">
        <f aca="false">IF(H1010&lt;0,-1E+099,A1010-E1010-M1010+J1010+(E1010+F1010)*Calculator!$B$9)</f>
        <v>-1E+099</v>
      </c>
      <c r="O1010" s="2"/>
      <c r="P1010" s="11" t="n">
        <f aca="false">997*$B$3</f>
        <v>498500</v>
      </c>
      <c r="Q1010" s="11" t="n">
        <f aca="false">MIN(P1010,'Tax Tables'!$B$31*'Tax Tables'!$B$32)</f>
        <v>96000</v>
      </c>
      <c r="R1010" s="11" t="n">
        <f aca="false">P1010-Q1010</f>
        <v>402500</v>
      </c>
      <c r="S1010" s="11" t="n">
        <f aca="false">IF(Calculator!$B$6="Yes",MIN(Q1010,'Tax Tables'!$B$31*'Tax Tables'!$B$32),0)</f>
        <v>96000</v>
      </c>
      <c r="T1010" s="11" t="n">
        <f aca="false">S1010*Calculator!$B$7</f>
        <v>19200</v>
      </c>
      <c r="U1010" s="11" t="n">
        <f aca="false">S1010*Calculator!$B$8</f>
        <v>16320</v>
      </c>
      <c r="V1010" s="11" t="n">
        <f aca="false">IF(Q1010&gt;0,'Tax Tables'!$B$32*MIN(MAX(Q1010/'Tax Tables'!$B$32*'Tax Tables'!$B$33,'Tax Tables'!$B$34),'Tax Tables'!$B$35),0)</f>
        <v>135</v>
      </c>
      <c r="W1010" s="11" t="n">
        <f aca="false">Calculator!$B$5-P1010-U1010-V1010</f>
        <v>-114955</v>
      </c>
      <c r="X1010" s="11" t="n">
        <f aca="false">'Tax Tables'!$B$22*(MAX(W1010,0)-IF(Calculator!$B$10="Yes",MIN(MAX(W1010,0),'Tax Tables'!$B$27)*'Tax Tables'!$B$28+MIN(MAX(MAX(W1010,0)-'Tax Tables'!$B$27,0),'Tax Tables'!$B$29)*'Tax Tables'!$B$30,MIN(MAX(W1010,0),'Tax Tables'!$B$23)*'Tax Tables'!$B$24+MIN(MAX(MAX(W1010,0)-'Tax Tables'!$B$23,0),'Tax Tables'!$B$25)*'Tax Tables'!$B$26))*1-MIN('Tax Tables'!$B$22*(MAX(W1010,0)-IF(Calculator!$B$10="Yes",MIN(MAX(W1010,0),'Tax Tables'!$B$27)*'Tax Tables'!$B$28+MIN(MAX(MAX(W1010,0)-'Tax Tables'!$B$27,0),'Tax Tables'!$B$29)*'Tax Tables'!$B$30,MIN(MAX(W1010,0),'Tax Tables'!$B$23)*'Tax Tables'!$B$24+MIN(MAX(MAX(W1010,0)-'Tax Tables'!$B$23,0),'Tax Tables'!$B$25)*'Tax Tables'!$B$26))*Calculator!$B$11,Calculator!$B$12)</f>
        <v>0</v>
      </c>
      <c r="Y1010" s="11" t="n">
        <f aca="false">MAX(W1010,0)-X1010</f>
        <v>0</v>
      </c>
      <c r="Z1010" s="11" t="n">
        <f aca="false">MIN(IF(P1010&gt;0,Calculator!$B$13,0)+T1010+Calculator!$B$14,'Tax Tables'!$B$36)</f>
        <v>20200</v>
      </c>
      <c r="AA1010" s="11" t="n">
        <f aca="false">MAX(P1010-Z1010,0)</f>
        <v>478300</v>
      </c>
      <c r="AB1010" s="11" t="n">
        <f aca="false">SUMPRODUCT((AA1010&gt;'Tax Tables'!$A$5:$A$17)*(AA1010-'Tax Tables'!$A$5:$A$17)*'Tax Tables'!$C$5:$C$17)</f>
        <v>79376</v>
      </c>
      <c r="AC1010" s="11" t="n">
        <f aca="false">IF(W1010&lt;0,-1E+099,P1010-T1010-AB1010+Y1010+(T1010+U1010)*Calculator!$B$9)</f>
        <v>-1E+099</v>
      </c>
    </row>
    <row r="1011" customFormat="false" ht="15" hidden="false" customHeight="false" outlineLevel="0" collapsed="false">
      <c r="A1011" s="11" t="n">
        <f aca="false">998*$B$3</f>
        <v>499000</v>
      </c>
      <c r="B1011" s="11" t="n">
        <f aca="false">0</f>
        <v>0</v>
      </c>
      <c r="C1011" s="11" t="n">
        <f aca="false">A1011-B1011</f>
        <v>499000</v>
      </c>
      <c r="D1011" s="11" t="n">
        <f aca="false">IF(Calculator!$B$6="Yes",MIN(B1011,'Tax Tables'!$B$31*'Tax Tables'!$B$32),0)</f>
        <v>0</v>
      </c>
      <c r="E1011" s="11" t="n">
        <f aca="false">D1011*Calculator!$B$7</f>
        <v>0</v>
      </c>
      <c r="F1011" s="11" t="n">
        <f aca="false">D1011*Calculator!$B$8</f>
        <v>0</v>
      </c>
      <c r="G1011" s="11" t="n">
        <f aca="false">IF(B1011&gt;0,'Tax Tables'!$B$32*MIN(MAX(B1011/'Tax Tables'!$B$32*'Tax Tables'!$B$33,'Tax Tables'!$B$34),'Tax Tables'!$B$35),0)</f>
        <v>0</v>
      </c>
      <c r="H1011" s="11" t="n">
        <f aca="false">Calculator!$B$5-A1011-F1011-G1011</f>
        <v>-99000</v>
      </c>
      <c r="I1011" s="11" t="n">
        <f aca="false">'Tax Tables'!$B$22*(MAX(H1011,0)-IF(Calculator!$B$10="Yes",MIN(MAX(H1011,0),'Tax Tables'!$B$27)*'Tax Tables'!$B$28+MIN(MAX(MAX(H1011,0)-'Tax Tables'!$B$27,0),'Tax Tables'!$B$29)*'Tax Tables'!$B$30,MIN(MAX(H1011,0),'Tax Tables'!$B$23)*'Tax Tables'!$B$24+MIN(MAX(MAX(H1011,0)-'Tax Tables'!$B$23,0),'Tax Tables'!$B$25)*'Tax Tables'!$B$26))*1-MIN('Tax Tables'!$B$22*(MAX(H1011,0)-IF(Calculator!$B$10="Yes",MIN(MAX(H1011,0),'Tax Tables'!$B$27)*'Tax Tables'!$B$28+MIN(MAX(MAX(H1011,0)-'Tax Tables'!$B$27,0),'Tax Tables'!$B$29)*'Tax Tables'!$B$30,MIN(MAX(H1011,0),'Tax Tables'!$B$23)*'Tax Tables'!$B$24+MIN(MAX(MAX(H1011,0)-'Tax Tables'!$B$23,0),'Tax Tables'!$B$25)*'Tax Tables'!$B$26))*Calculator!$B$11,Calculator!$B$12)</f>
        <v>0</v>
      </c>
      <c r="J1011" s="11" t="n">
        <f aca="false">MAX(H1011,0)-I1011</f>
        <v>0</v>
      </c>
      <c r="K1011" s="11" t="n">
        <f aca="false">MIN(IF(A1011&gt;0,Calculator!$B$13,0)+E1011+Calculator!$B$14,'Tax Tables'!$B$36)</f>
        <v>1000</v>
      </c>
      <c r="L1011" s="11" t="n">
        <f aca="false">MAX(A1011-K1011,0)</f>
        <v>498000</v>
      </c>
      <c r="M1011" s="11" t="n">
        <f aca="false">SUMPRODUCT((L1011&gt;'Tax Tables'!$A$5:$A$17)*(L1011-'Tax Tables'!$A$5:$A$17)*'Tax Tables'!$C$5:$C$17)</f>
        <v>83710</v>
      </c>
      <c r="N1011" s="11" t="n">
        <f aca="false">IF(H1011&lt;0,-1E+099,A1011-E1011-M1011+J1011+(E1011+F1011)*Calculator!$B$9)</f>
        <v>-1E+099</v>
      </c>
      <c r="O1011" s="2"/>
      <c r="P1011" s="11" t="n">
        <f aca="false">998*$B$3</f>
        <v>499000</v>
      </c>
      <c r="Q1011" s="11" t="n">
        <f aca="false">MIN(P1011,'Tax Tables'!$B$31*'Tax Tables'!$B$32)</f>
        <v>96000</v>
      </c>
      <c r="R1011" s="11" t="n">
        <f aca="false">P1011-Q1011</f>
        <v>403000</v>
      </c>
      <c r="S1011" s="11" t="n">
        <f aca="false">IF(Calculator!$B$6="Yes",MIN(Q1011,'Tax Tables'!$B$31*'Tax Tables'!$B$32),0)</f>
        <v>96000</v>
      </c>
      <c r="T1011" s="11" t="n">
        <f aca="false">S1011*Calculator!$B$7</f>
        <v>19200</v>
      </c>
      <c r="U1011" s="11" t="n">
        <f aca="false">S1011*Calculator!$B$8</f>
        <v>16320</v>
      </c>
      <c r="V1011" s="11" t="n">
        <f aca="false">IF(Q1011&gt;0,'Tax Tables'!$B$32*MIN(MAX(Q1011/'Tax Tables'!$B$32*'Tax Tables'!$B$33,'Tax Tables'!$B$34),'Tax Tables'!$B$35),0)</f>
        <v>135</v>
      </c>
      <c r="W1011" s="11" t="n">
        <f aca="false">Calculator!$B$5-P1011-U1011-V1011</f>
        <v>-115455</v>
      </c>
      <c r="X1011" s="11" t="n">
        <f aca="false">'Tax Tables'!$B$22*(MAX(W1011,0)-IF(Calculator!$B$10="Yes",MIN(MAX(W1011,0),'Tax Tables'!$B$27)*'Tax Tables'!$B$28+MIN(MAX(MAX(W1011,0)-'Tax Tables'!$B$27,0),'Tax Tables'!$B$29)*'Tax Tables'!$B$30,MIN(MAX(W1011,0),'Tax Tables'!$B$23)*'Tax Tables'!$B$24+MIN(MAX(MAX(W1011,0)-'Tax Tables'!$B$23,0),'Tax Tables'!$B$25)*'Tax Tables'!$B$26))*1-MIN('Tax Tables'!$B$22*(MAX(W1011,0)-IF(Calculator!$B$10="Yes",MIN(MAX(W1011,0),'Tax Tables'!$B$27)*'Tax Tables'!$B$28+MIN(MAX(MAX(W1011,0)-'Tax Tables'!$B$27,0),'Tax Tables'!$B$29)*'Tax Tables'!$B$30,MIN(MAX(W1011,0),'Tax Tables'!$B$23)*'Tax Tables'!$B$24+MIN(MAX(MAX(W1011,0)-'Tax Tables'!$B$23,0),'Tax Tables'!$B$25)*'Tax Tables'!$B$26))*Calculator!$B$11,Calculator!$B$12)</f>
        <v>0</v>
      </c>
      <c r="Y1011" s="11" t="n">
        <f aca="false">MAX(W1011,0)-X1011</f>
        <v>0</v>
      </c>
      <c r="Z1011" s="11" t="n">
        <f aca="false">MIN(IF(P1011&gt;0,Calculator!$B$13,0)+T1011+Calculator!$B$14,'Tax Tables'!$B$36)</f>
        <v>20200</v>
      </c>
      <c r="AA1011" s="11" t="n">
        <f aca="false">MAX(P1011-Z1011,0)</f>
        <v>478800</v>
      </c>
      <c r="AB1011" s="11" t="n">
        <f aca="false">SUMPRODUCT((AA1011&gt;'Tax Tables'!$A$5:$A$17)*(AA1011-'Tax Tables'!$A$5:$A$17)*'Tax Tables'!$C$5:$C$17)</f>
        <v>79486</v>
      </c>
      <c r="AC1011" s="11" t="n">
        <f aca="false">IF(W1011&lt;0,-1E+099,P1011-T1011-AB1011+Y1011+(T1011+U1011)*Calculator!$B$9)</f>
        <v>-1E+099</v>
      </c>
    </row>
    <row r="1012" customFormat="false" ht="15" hidden="false" customHeight="false" outlineLevel="0" collapsed="false">
      <c r="A1012" s="11" t="n">
        <f aca="false">999*$B$3</f>
        <v>499500</v>
      </c>
      <c r="B1012" s="11" t="n">
        <f aca="false">0</f>
        <v>0</v>
      </c>
      <c r="C1012" s="11" t="n">
        <f aca="false">A1012-B1012</f>
        <v>499500</v>
      </c>
      <c r="D1012" s="11" t="n">
        <f aca="false">IF(Calculator!$B$6="Yes",MIN(B1012,'Tax Tables'!$B$31*'Tax Tables'!$B$32),0)</f>
        <v>0</v>
      </c>
      <c r="E1012" s="11" t="n">
        <f aca="false">D1012*Calculator!$B$7</f>
        <v>0</v>
      </c>
      <c r="F1012" s="11" t="n">
        <f aca="false">D1012*Calculator!$B$8</f>
        <v>0</v>
      </c>
      <c r="G1012" s="11" t="n">
        <f aca="false">IF(B1012&gt;0,'Tax Tables'!$B$32*MIN(MAX(B1012/'Tax Tables'!$B$32*'Tax Tables'!$B$33,'Tax Tables'!$B$34),'Tax Tables'!$B$35),0)</f>
        <v>0</v>
      </c>
      <c r="H1012" s="11" t="n">
        <f aca="false">Calculator!$B$5-A1012-F1012-G1012</f>
        <v>-99500</v>
      </c>
      <c r="I1012" s="11" t="n">
        <f aca="false">'Tax Tables'!$B$22*(MAX(H1012,0)-IF(Calculator!$B$10="Yes",MIN(MAX(H1012,0),'Tax Tables'!$B$27)*'Tax Tables'!$B$28+MIN(MAX(MAX(H1012,0)-'Tax Tables'!$B$27,0),'Tax Tables'!$B$29)*'Tax Tables'!$B$30,MIN(MAX(H1012,0),'Tax Tables'!$B$23)*'Tax Tables'!$B$24+MIN(MAX(MAX(H1012,0)-'Tax Tables'!$B$23,0),'Tax Tables'!$B$25)*'Tax Tables'!$B$26))*1-MIN('Tax Tables'!$B$22*(MAX(H1012,0)-IF(Calculator!$B$10="Yes",MIN(MAX(H1012,0),'Tax Tables'!$B$27)*'Tax Tables'!$B$28+MIN(MAX(MAX(H1012,0)-'Tax Tables'!$B$27,0),'Tax Tables'!$B$29)*'Tax Tables'!$B$30,MIN(MAX(H1012,0),'Tax Tables'!$B$23)*'Tax Tables'!$B$24+MIN(MAX(MAX(H1012,0)-'Tax Tables'!$B$23,0),'Tax Tables'!$B$25)*'Tax Tables'!$B$26))*Calculator!$B$11,Calculator!$B$12)</f>
        <v>0</v>
      </c>
      <c r="J1012" s="11" t="n">
        <f aca="false">MAX(H1012,0)-I1012</f>
        <v>0</v>
      </c>
      <c r="K1012" s="11" t="n">
        <f aca="false">MIN(IF(A1012&gt;0,Calculator!$B$13,0)+E1012+Calculator!$B$14,'Tax Tables'!$B$36)</f>
        <v>1000</v>
      </c>
      <c r="L1012" s="11" t="n">
        <f aca="false">MAX(A1012-K1012,0)</f>
        <v>498500</v>
      </c>
      <c r="M1012" s="11" t="n">
        <f aca="false">SUMPRODUCT((L1012&gt;'Tax Tables'!$A$5:$A$17)*(L1012-'Tax Tables'!$A$5:$A$17)*'Tax Tables'!$C$5:$C$17)</f>
        <v>83820</v>
      </c>
      <c r="N1012" s="11" t="n">
        <f aca="false">IF(H1012&lt;0,-1E+099,A1012-E1012-M1012+J1012+(E1012+F1012)*Calculator!$B$9)</f>
        <v>-1E+099</v>
      </c>
      <c r="O1012" s="2"/>
      <c r="P1012" s="11" t="n">
        <f aca="false">999*$B$3</f>
        <v>499500</v>
      </c>
      <c r="Q1012" s="11" t="n">
        <f aca="false">MIN(P1012,'Tax Tables'!$B$31*'Tax Tables'!$B$32)</f>
        <v>96000</v>
      </c>
      <c r="R1012" s="11" t="n">
        <f aca="false">P1012-Q1012</f>
        <v>403500</v>
      </c>
      <c r="S1012" s="11" t="n">
        <f aca="false">IF(Calculator!$B$6="Yes",MIN(Q1012,'Tax Tables'!$B$31*'Tax Tables'!$B$32),0)</f>
        <v>96000</v>
      </c>
      <c r="T1012" s="11" t="n">
        <f aca="false">S1012*Calculator!$B$7</f>
        <v>19200</v>
      </c>
      <c r="U1012" s="11" t="n">
        <f aca="false">S1012*Calculator!$B$8</f>
        <v>16320</v>
      </c>
      <c r="V1012" s="11" t="n">
        <f aca="false">IF(Q1012&gt;0,'Tax Tables'!$B$32*MIN(MAX(Q1012/'Tax Tables'!$B$32*'Tax Tables'!$B$33,'Tax Tables'!$B$34),'Tax Tables'!$B$35),0)</f>
        <v>135</v>
      </c>
      <c r="W1012" s="11" t="n">
        <f aca="false">Calculator!$B$5-P1012-U1012-V1012</f>
        <v>-115955</v>
      </c>
      <c r="X1012" s="11" t="n">
        <f aca="false">'Tax Tables'!$B$22*(MAX(W1012,0)-IF(Calculator!$B$10="Yes",MIN(MAX(W1012,0),'Tax Tables'!$B$27)*'Tax Tables'!$B$28+MIN(MAX(MAX(W1012,0)-'Tax Tables'!$B$27,0),'Tax Tables'!$B$29)*'Tax Tables'!$B$30,MIN(MAX(W1012,0),'Tax Tables'!$B$23)*'Tax Tables'!$B$24+MIN(MAX(MAX(W1012,0)-'Tax Tables'!$B$23,0),'Tax Tables'!$B$25)*'Tax Tables'!$B$26))*1-MIN('Tax Tables'!$B$22*(MAX(W1012,0)-IF(Calculator!$B$10="Yes",MIN(MAX(W1012,0),'Tax Tables'!$B$27)*'Tax Tables'!$B$28+MIN(MAX(MAX(W1012,0)-'Tax Tables'!$B$27,0),'Tax Tables'!$B$29)*'Tax Tables'!$B$30,MIN(MAX(W1012,0),'Tax Tables'!$B$23)*'Tax Tables'!$B$24+MIN(MAX(MAX(W1012,0)-'Tax Tables'!$B$23,0),'Tax Tables'!$B$25)*'Tax Tables'!$B$26))*Calculator!$B$11,Calculator!$B$12)</f>
        <v>0</v>
      </c>
      <c r="Y1012" s="11" t="n">
        <f aca="false">MAX(W1012,0)-X1012</f>
        <v>0</v>
      </c>
      <c r="Z1012" s="11" t="n">
        <f aca="false">MIN(IF(P1012&gt;0,Calculator!$B$13,0)+T1012+Calculator!$B$14,'Tax Tables'!$B$36)</f>
        <v>20200</v>
      </c>
      <c r="AA1012" s="11" t="n">
        <f aca="false">MAX(P1012-Z1012,0)</f>
        <v>479300</v>
      </c>
      <c r="AB1012" s="11" t="n">
        <f aca="false">SUMPRODUCT((AA1012&gt;'Tax Tables'!$A$5:$A$17)*(AA1012-'Tax Tables'!$A$5:$A$17)*'Tax Tables'!$C$5:$C$17)</f>
        <v>79596</v>
      </c>
      <c r="AC1012" s="11" t="n">
        <f aca="false">IF(W1012&lt;0,-1E+099,P1012-T1012-AB1012+Y1012+(T1012+U1012)*Calculator!$B$9)</f>
        <v>-1E+099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9" min="1" style="0" width="18"/>
  </cols>
  <sheetData>
    <row r="1" customFormat="false" ht="15" hidden="false" customHeight="false" outlineLevel="0" collapsed="false">
      <c r="A1" s="17" t="s">
        <v>91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92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45" hidden="false" customHeight="true" outlineLevel="0" collapsed="false">
      <c r="A4" s="21" t="s">
        <v>93</v>
      </c>
      <c r="B4" s="21" t="s">
        <v>94</v>
      </c>
      <c r="C4" s="21" t="s">
        <v>95</v>
      </c>
      <c r="D4" s="21" t="s">
        <v>96</v>
      </c>
      <c r="E4" s="21" t="s">
        <v>97</v>
      </c>
      <c r="F4" s="21" t="s">
        <v>98</v>
      </c>
      <c r="G4" s="21" t="s">
        <v>99</v>
      </c>
      <c r="H4" s="21" t="s">
        <v>96</v>
      </c>
      <c r="I4" s="21" t="s">
        <v>97</v>
      </c>
    </row>
    <row r="5" customFormat="false" ht="15" hidden="false" customHeight="false" outlineLevel="0" collapsed="false">
      <c r="A5" s="11" t="n">
        <v>50000</v>
      </c>
      <c r="B5" s="11" t="n">
        <v>3825</v>
      </c>
      <c r="C5" s="11" t="n">
        <v>41000</v>
      </c>
      <c r="D5" s="11" t="n">
        <v>932</v>
      </c>
      <c r="E5" s="11" t="n">
        <v>2893</v>
      </c>
      <c r="F5" s="11" t="n">
        <v>42000</v>
      </c>
      <c r="G5" s="11" t="n">
        <v>0</v>
      </c>
      <c r="H5" s="11" t="n">
        <v>323</v>
      </c>
      <c r="I5" s="11" t="n">
        <v>3502</v>
      </c>
    </row>
    <row r="6" customFormat="false" ht="15" hidden="false" customHeight="false" outlineLevel="0" collapsed="false">
      <c r="A6" s="11" t="n">
        <v>100000</v>
      </c>
      <c r="B6" s="11" t="n">
        <v>8075</v>
      </c>
      <c r="C6" s="11" t="n">
        <v>81000</v>
      </c>
      <c r="D6" s="11" t="n">
        <v>4540</v>
      </c>
      <c r="E6" s="11" t="n">
        <v>3535</v>
      </c>
      <c r="F6" s="11" t="n">
        <v>77000</v>
      </c>
      <c r="G6" s="11" t="n">
        <v>0</v>
      </c>
      <c r="H6" s="11" t="n">
        <v>2407</v>
      </c>
      <c r="I6" s="11" t="n">
        <v>5668</v>
      </c>
    </row>
    <row r="7" customFormat="false" ht="15" hidden="false" customHeight="false" outlineLevel="0" collapsed="false">
      <c r="A7" s="11" t="n">
        <v>150000</v>
      </c>
      <c r="B7" s="11" t="n">
        <v>12325</v>
      </c>
      <c r="C7" s="11" t="n">
        <v>81000</v>
      </c>
      <c r="D7" s="11" t="n">
        <v>8790</v>
      </c>
      <c r="E7" s="11" t="n">
        <v>3535</v>
      </c>
      <c r="F7" s="11" t="n">
        <v>96000</v>
      </c>
      <c r="G7" s="11" t="n">
        <v>4000</v>
      </c>
      <c r="H7" s="11" t="n">
        <v>5762</v>
      </c>
      <c r="I7" s="11" t="n">
        <v>6563</v>
      </c>
    </row>
    <row r="8" customFormat="false" ht="15" hidden="false" customHeight="false" outlineLevel="0" collapsed="false">
      <c r="A8" s="11" t="n">
        <v>200000</v>
      </c>
      <c r="B8" s="11" t="n">
        <v>16575</v>
      </c>
      <c r="C8" s="11" t="n">
        <v>81000</v>
      </c>
      <c r="D8" s="11" t="n">
        <v>13040</v>
      </c>
      <c r="E8" s="11" t="n">
        <v>3535</v>
      </c>
      <c r="F8" s="11" t="n">
        <v>96000</v>
      </c>
      <c r="G8" s="11" t="n">
        <v>4000</v>
      </c>
      <c r="H8" s="11" t="n">
        <v>10012</v>
      </c>
      <c r="I8" s="11" t="n">
        <v>6563</v>
      </c>
    </row>
    <row r="9" customFormat="false" ht="15" hidden="false" customHeight="false" outlineLevel="0" collapsed="false">
      <c r="A9" s="11" t="n">
        <v>250000</v>
      </c>
      <c r="B9" s="11" t="n">
        <v>25075</v>
      </c>
      <c r="C9" s="11" t="n">
        <v>81000</v>
      </c>
      <c r="D9" s="11" t="n">
        <v>17290</v>
      </c>
      <c r="E9" s="11" t="n">
        <v>7785</v>
      </c>
      <c r="F9" s="11" t="n">
        <v>96000</v>
      </c>
      <c r="G9" s="11" t="n">
        <v>4000</v>
      </c>
      <c r="H9" s="11" t="n">
        <v>14262</v>
      </c>
      <c r="I9" s="11" t="n">
        <v>10813</v>
      </c>
    </row>
    <row r="10" customFormat="false" ht="15" hidden="false" customHeight="false" outlineLevel="0" collapsed="false">
      <c r="A10" s="11" t="n">
        <v>300000</v>
      </c>
      <c r="B10" s="11" t="n">
        <v>33575</v>
      </c>
      <c r="C10" s="11" t="n">
        <v>100000</v>
      </c>
      <c r="D10" s="11" t="n">
        <v>22110</v>
      </c>
      <c r="E10" s="11" t="n">
        <v>11465</v>
      </c>
      <c r="F10" s="11" t="n">
        <v>96000</v>
      </c>
      <c r="G10" s="11" t="n">
        <v>4000</v>
      </c>
      <c r="H10" s="11" t="n">
        <v>18512</v>
      </c>
      <c r="I10" s="11" t="n">
        <v>15063</v>
      </c>
    </row>
    <row r="11" customFormat="false" ht="15" hidden="false" customHeight="false" outlineLevel="0" collapsed="false">
      <c r="A11" s="11" t="n">
        <v>350000</v>
      </c>
      <c r="B11" s="11" t="n">
        <v>42075</v>
      </c>
      <c r="C11" s="11" t="n">
        <v>150000</v>
      </c>
      <c r="D11" s="11" t="n">
        <v>28875</v>
      </c>
      <c r="E11" s="11" t="n">
        <v>13200</v>
      </c>
      <c r="F11" s="11" t="n">
        <v>96000</v>
      </c>
      <c r="G11" s="11" t="n">
        <v>38000</v>
      </c>
      <c r="H11" s="11" t="n">
        <v>23773</v>
      </c>
      <c r="I11" s="11" t="n">
        <v>18302</v>
      </c>
    </row>
    <row r="12" customFormat="false" ht="15" hidden="false" customHeight="false" outlineLevel="0" collapsed="false">
      <c r="A12" s="11" t="n">
        <v>400000</v>
      </c>
      <c r="B12" s="11" t="n">
        <v>50575</v>
      </c>
      <c r="C12" s="11" t="n">
        <v>161000</v>
      </c>
      <c r="D12" s="11" t="n">
        <v>37155</v>
      </c>
      <c r="E12" s="11" t="n">
        <v>13420</v>
      </c>
      <c r="F12" s="11" t="n">
        <v>96000</v>
      </c>
      <c r="G12" s="11" t="n">
        <v>84000</v>
      </c>
      <c r="H12" s="11" t="n">
        <v>31098</v>
      </c>
      <c r="I12" s="11" t="n">
        <v>19477</v>
      </c>
    </row>
    <row r="13" customFormat="false" ht="15" hidden="false" customHeight="false" outlineLevel="0" collapsed="false">
      <c r="A13" s="11" t="n">
        <v>500000</v>
      </c>
      <c r="B13" s="11" t="n">
        <v>67575</v>
      </c>
      <c r="C13" s="11" t="n">
        <v>161000</v>
      </c>
      <c r="D13" s="11" t="n">
        <v>54155</v>
      </c>
      <c r="E13" s="11" t="n">
        <v>13420</v>
      </c>
      <c r="F13" s="11" t="n">
        <v>96000</v>
      </c>
      <c r="G13" s="11" t="n">
        <v>84000</v>
      </c>
      <c r="H13" s="11" t="n">
        <v>48098</v>
      </c>
      <c r="I13" s="11" t="n">
        <v>19477</v>
      </c>
    </row>
    <row r="14" customFormat="false" ht="15" hidden="false" customHeight="false" outlineLevel="0" collapsed="false">
      <c r="A14" s="11" t="n">
        <v>750000</v>
      </c>
      <c r="B14" s="11" t="n">
        <v>110075</v>
      </c>
      <c r="C14" s="11" t="n">
        <v>161000</v>
      </c>
      <c r="D14" s="11" t="n">
        <v>96655</v>
      </c>
      <c r="E14" s="11" t="n">
        <v>13420</v>
      </c>
      <c r="F14" s="11" t="n">
        <v>96000</v>
      </c>
      <c r="G14" s="11" t="n">
        <v>84000</v>
      </c>
      <c r="H14" s="11" t="n">
        <v>90598</v>
      </c>
      <c r="I14" s="11" t="n">
        <v>19477</v>
      </c>
    </row>
    <row r="15" customFormat="false" ht="15" hidden="false" customHeight="false" outlineLevel="0" collapsed="false">
      <c r="A15" s="11" t="n">
        <v>1000000</v>
      </c>
      <c r="B15" s="11" t="n">
        <v>152575</v>
      </c>
      <c r="C15" s="11" t="n">
        <v>161000</v>
      </c>
      <c r="D15" s="11" t="n">
        <v>139155</v>
      </c>
      <c r="E15" s="11" t="n">
        <v>13420</v>
      </c>
      <c r="F15" s="11" t="n">
        <v>96000</v>
      </c>
      <c r="G15" s="11" t="n">
        <v>84000</v>
      </c>
      <c r="H15" s="11" t="n">
        <v>133098</v>
      </c>
      <c r="I15" s="11" t="n">
        <v>19477</v>
      </c>
    </row>
    <row r="16" customFormat="false" ht="15" hidden="false" customHeight="false" outlineLevel="0" collapsed="false">
      <c r="A16" s="11" t="n">
        <v>2000000</v>
      </c>
      <c r="B16" s="11" t="n">
        <v>322575</v>
      </c>
      <c r="C16" s="11" t="n">
        <v>161000</v>
      </c>
      <c r="D16" s="11" t="n">
        <v>309155</v>
      </c>
      <c r="E16" s="11" t="n">
        <v>13420</v>
      </c>
      <c r="F16" s="11" t="n">
        <v>96000</v>
      </c>
      <c r="G16" s="11" t="n">
        <v>84000</v>
      </c>
      <c r="H16" s="11" t="n">
        <v>303098</v>
      </c>
      <c r="I16" s="11" t="n">
        <v>19477</v>
      </c>
    </row>
    <row r="17" customFormat="false" ht="15" hidden="false" customHeight="false" outlineLevel="0" collapsed="false">
      <c r="A17" s="2"/>
      <c r="B17" s="2"/>
      <c r="C17" s="2"/>
      <c r="D17" s="2"/>
      <c r="E17" s="2"/>
      <c r="F17" s="2"/>
      <c r="G17" s="2"/>
      <c r="H17" s="2"/>
      <c r="I17" s="2"/>
    </row>
    <row r="18" customFormat="false" ht="15" hidden="false" customHeight="false" outlineLevel="0" collapsed="false">
      <c r="A18" s="3" t="s">
        <v>100</v>
      </c>
      <c r="B18" s="2"/>
      <c r="C18" s="2"/>
      <c r="D18" s="2"/>
      <c r="E18" s="2"/>
      <c r="F18" s="2"/>
      <c r="G18" s="2"/>
      <c r="H18" s="2"/>
      <c r="I1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7" t="s">
        <v>101</v>
      </c>
      <c r="B1" s="2"/>
      <c r="C1" s="2"/>
    </row>
    <row r="2" customFormat="false" ht="15" hidden="false" customHeight="false" outlineLevel="0" collapsed="false">
      <c r="A2" s="2"/>
      <c r="B2" s="2"/>
      <c r="C2" s="2"/>
    </row>
    <row r="3" customFormat="false" ht="15" hidden="false" customHeight="false" outlineLevel="0" collapsed="false">
      <c r="A3" s="4" t="s">
        <v>102</v>
      </c>
      <c r="B3" s="2"/>
      <c r="C3" s="2"/>
    </row>
    <row r="4" customFormat="false" ht="15" hidden="false" customHeight="false" outlineLevel="0" collapsed="false">
      <c r="A4" s="19" t="s">
        <v>103</v>
      </c>
      <c r="B4" s="19" t="s">
        <v>104</v>
      </c>
      <c r="C4" s="19" t="s">
        <v>105</v>
      </c>
    </row>
    <row r="5" customFormat="false" ht="15" hidden="false" customHeight="false" outlineLevel="0" collapsed="false">
      <c r="A5" s="10" t="n">
        <v>0</v>
      </c>
      <c r="B5" s="22" t="n">
        <v>0</v>
      </c>
      <c r="C5" s="23" t="n">
        <f aca="false">B5</f>
        <v>0</v>
      </c>
    </row>
    <row r="6" customFormat="false" ht="15" hidden="false" customHeight="false" outlineLevel="0" collapsed="false">
      <c r="A6" s="10" t="n">
        <v>20000</v>
      </c>
      <c r="B6" s="22" t="n">
        <v>0.02</v>
      </c>
      <c r="C6" s="23" t="n">
        <f aca="false">B6-B5</f>
        <v>0.02</v>
      </c>
    </row>
    <row r="7" customFormat="false" ht="15" hidden="false" customHeight="false" outlineLevel="0" collapsed="false">
      <c r="A7" s="10" t="n">
        <v>30000</v>
      </c>
      <c r="B7" s="22" t="n">
        <v>0.035</v>
      </c>
      <c r="C7" s="23" t="n">
        <f aca="false">B7-B6</f>
        <v>0.015</v>
      </c>
    </row>
    <row r="8" customFormat="false" ht="15" hidden="false" customHeight="false" outlineLevel="0" collapsed="false">
      <c r="A8" s="10" t="n">
        <v>40000</v>
      </c>
      <c r="B8" s="22" t="n">
        <v>0.07</v>
      </c>
      <c r="C8" s="23" t="n">
        <f aca="false">B8-B7</f>
        <v>0.035</v>
      </c>
    </row>
    <row r="9" customFormat="false" ht="15" hidden="false" customHeight="false" outlineLevel="0" collapsed="false">
      <c r="A9" s="10" t="n">
        <v>80000</v>
      </c>
      <c r="B9" s="22" t="n">
        <v>0.115</v>
      </c>
      <c r="C9" s="23" t="n">
        <f aca="false">B9-B8</f>
        <v>0.045</v>
      </c>
    </row>
    <row r="10" customFormat="false" ht="15" hidden="false" customHeight="false" outlineLevel="0" collapsed="false">
      <c r="A10" s="10" t="n">
        <v>120000</v>
      </c>
      <c r="B10" s="22" t="n">
        <v>0.15</v>
      </c>
      <c r="C10" s="23" t="n">
        <f aca="false">B10-B9</f>
        <v>0.035</v>
      </c>
    </row>
    <row r="11" customFormat="false" ht="15" hidden="false" customHeight="false" outlineLevel="0" collapsed="false">
      <c r="A11" s="10" t="n">
        <v>160000</v>
      </c>
      <c r="B11" s="22" t="n">
        <v>0.18</v>
      </c>
      <c r="C11" s="23" t="n">
        <f aca="false">B11-B10</f>
        <v>0.03</v>
      </c>
    </row>
    <row r="12" customFormat="false" ht="15" hidden="false" customHeight="false" outlineLevel="0" collapsed="false">
      <c r="A12" s="10" t="n">
        <v>200000</v>
      </c>
      <c r="B12" s="22" t="n">
        <v>0.19</v>
      </c>
      <c r="C12" s="23" t="n">
        <f aca="false">B12-B11</f>
        <v>0.01</v>
      </c>
    </row>
    <row r="13" customFormat="false" ht="15" hidden="false" customHeight="false" outlineLevel="0" collapsed="false">
      <c r="A13" s="10" t="n">
        <v>240000</v>
      </c>
      <c r="B13" s="22" t="n">
        <v>0.195</v>
      </c>
      <c r="C13" s="23" t="n">
        <f aca="false">B13-B12</f>
        <v>0.005</v>
      </c>
    </row>
    <row r="14" customFormat="false" ht="15" hidden="false" customHeight="false" outlineLevel="0" collapsed="false">
      <c r="A14" s="10" t="n">
        <v>280000</v>
      </c>
      <c r="B14" s="22" t="n">
        <v>0.2</v>
      </c>
      <c r="C14" s="23" t="n">
        <f aca="false">B14-B13</f>
        <v>0.005</v>
      </c>
    </row>
    <row r="15" customFormat="false" ht="15" hidden="false" customHeight="false" outlineLevel="0" collapsed="false">
      <c r="A15" s="10" t="n">
        <v>320000</v>
      </c>
      <c r="B15" s="22" t="n">
        <v>0.22</v>
      </c>
      <c r="C15" s="23" t="n">
        <f aca="false">B15-B14</f>
        <v>0.02</v>
      </c>
    </row>
    <row r="16" customFormat="false" ht="15" hidden="false" customHeight="false" outlineLevel="0" collapsed="false">
      <c r="A16" s="10" t="n">
        <v>500000</v>
      </c>
      <c r="B16" s="22" t="n">
        <v>0.23</v>
      </c>
      <c r="C16" s="23" t="n">
        <f aca="false">B16-B15</f>
        <v>0.01</v>
      </c>
    </row>
    <row r="17" customFormat="false" ht="15" hidden="false" customHeight="false" outlineLevel="0" collapsed="false">
      <c r="A17" s="10" t="n">
        <v>1000000</v>
      </c>
      <c r="B17" s="22" t="n">
        <v>0.24</v>
      </c>
      <c r="C17" s="23" t="n">
        <f aca="false">B17-B16</f>
        <v>0.00999999999999998</v>
      </c>
    </row>
    <row r="18" customFormat="false" ht="15" hidden="false" customHeight="false" outlineLevel="0" collapsed="false">
      <c r="A18" s="3" t="s">
        <v>106</v>
      </c>
      <c r="B18" s="2"/>
      <c r="C18" s="2"/>
    </row>
    <row r="19" customFormat="false" ht="15" hidden="false" customHeight="false" outlineLevel="0" collapsed="false">
      <c r="A19" s="2"/>
      <c r="B19" s="2"/>
      <c r="C19" s="2"/>
    </row>
    <row r="20" customFormat="false" ht="15" hidden="false" customHeight="false" outlineLevel="0" collapsed="false">
      <c r="A20" s="4" t="s">
        <v>107</v>
      </c>
      <c r="B20" s="2"/>
      <c r="C20" s="2"/>
    </row>
    <row r="21" customFormat="false" ht="15" hidden="false" customHeight="false" outlineLevel="0" collapsed="false">
      <c r="A21" s="19" t="s">
        <v>108</v>
      </c>
      <c r="B21" s="19" t="s">
        <v>109</v>
      </c>
      <c r="C21" s="19" t="s">
        <v>110</v>
      </c>
    </row>
    <row r="22" customFormat="false" ht="15" hidden="false" customHeight="false" outlineLevel="0" collapsed="false">
      <c r="A22" s="2" t="s">
        <v>111</v>
      </c>
      <c r="B22" s="22" t="n">
        <v>0.17</v>
      </c>
      <c r="C22" s="3" t="s">
        <v>112</v>
      </c>
    </row>
    <row r="23" customFormat="false" ht="15" hidden="false" customHeight="false" outlineLevel="0" collapsed="false">
      <c r="A23" s="2" t="s">
        <v>113</v>
      </c>
      <c r="B23" s="10" t="n">
        <v>10000</v>
      </c>
      <c r="C23" s="3" t="s">
        <v>114</v>
      </c>
    </row>
    <row r="24" customFormat="false" ht="15" hidden="false" customHeight="false" outlineLevel="0" collapsed="false">
      <c r="A24" s="2" t="s">
        <v>115</v>
      </c>
      <c r="B24" s="22" t="n">
        <v>0.75</v>
      </c>
      <c r="C24" s="3"/>
    </row>
    <row r="25" customFormat="false" ht="15" hidden="false" customHeight="false" outlineLevel="0" collapsed="false">
      <c r="A25" s="2" t="s">
        <v>116</v>
      </c>
      <c r="B25" s="10" t="n">
        <v>190000</v>
      </c>
      <c r="C25" s="3"/>
    </row>
    <row r="26" customFormat="false" ht="15" hidden="false" customHeight="false" outlineLevel="0" collapsed="false">
      <c r="A26" s="2" t="s">
        <v>117</v>
      </c>
      <c r="B26" s="22" t="n">
        <v>0.5</v>
      </c>
      <c r="C26" s="3"/>
    </row>
    <row r="27" customFormat="false" ht="15" hidden="false" customHeight="false" outlineLevel="0" collapsed="false">
      <c r="A27" s="2" t="s">
        <v>118</v>
      </c>
      <c r="B27" s="10" t="n">
        <v>100000</v>
      </c>
      <c r="C27" s="3" t="s">
        <v>119</v>
      </c>
    </row>
    <row r="28" customFormat="false" ht="15" hidden="false" customHeight="false" outlineLevel="0" collapsed="false">
      <c r="A28" s="2" t="s">
        <v>120</v>
      </c>
      <c r="B28" s="22" t="n">
        <v>0.75</v>
      </c>
      <c r="C28" s="3"/>
    </row>
    <row r="29" customFormat="false" ht="15" hidden="false" customHeight="false" outlineLevel="0" collapsed="false">
      <c r="A29" s="2" t="s">
        <v>121</v>
      </c>
      <c r="B29" s="10" t="n">
        <v>100000</v>
      </c>
      <c r="C29" s="3"/>
    </row>
    <row r="30" customFormat="false" ht="15" hidden="false" customHeight="false" outlineLevel="0" collapsed="false">
      <c r="A30" s="2" t="s">
        <v>122</v>
      </c>
      <c r="B30" s="22" t="n">
        <v>0.5</v>
      </c>
      <c r="C30" s="3"/>
    </row>
    <row r="31" customFormat="false" ht="15" hidden="false" customHeight="false" outlineLevel="0" collapsed="false">
      <c r="A31" s="2" t="s">
        <v>123</v>
      </c>
      <c r="B31" s="10" t="n">
        <v>8000</v>
      </c>
      <c r="C31" s="3" t="s">
        <v>124</v>
      </c>
    </row>
    <row r="32" customFormat="false" ht="15" hidden="false" customHeight="false" outlineLevel="0" collapsed="false">
      <c r="A32" s="2" t="s">
        <v>125</v>
      </c>
      <c r="B32" s="24" t="n">
        <v>12</v>
      </c>
      <c r="C32" s="3"/>
    </row>
    <row r="33" customFormat="false" ht="15" hidden="false" customHeight="false" outlineLevel="0" collapsed="false">
      <c r="A33" s="2" t="s">
        <v>126</v>
      </c>
      <c r="B33" s="25" t="n">
        <v>0.0025</v>
      </c>
      <c r="C33" s="3" t="s">
        <v>127</v>
      </c>
    </row>
    <row r="34" customFormat="false" ht="15" hidden="false" customHeight="false" outlineLevel="0" collapsed="false">
      <c r="A34" s="2" t="s">
        <v>128</v>
      </c>
      <c r="B34" s="26" t="n">
        <v>2</v>
      </c>
      <c r="C34" s="3"/>
    </row>
    <row r="35" customFormat="false" ht="15" hidden="false" customHeight="false" outlineLevel="0" collapsed="false">
      <c r="A35" s="2" t="s">
        <v>129</v>
      </c>
      <c r="B35" s="26" t="n">
        <v>11.25</v>
      </c>
      <c r="C35" s="3" t="s">
        <v>130</v>
      </c>
    </row>
    <row r="36" customFormat="false" ht="15" hidden="false" customHeight="false" outlineLevel="0" collapsed="false">
      <c r="A36" s="2" t="s">
        <v>131</v>
      </c>
      <c r="B36" s="10" t="n">
        <v>80000</v>
      </c>
      <c r="C36" s="3" t="s">
        <v>132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2026-09-29T02:12:46Z</dcterms:created>
  <dc:creator>openpyxl</dc:creator>
  <dc:description/>
  <dc:language>en-US</dc:language>
  <cp:lastModifiedBy/>
  <dcterms:modified xsi:type="dcterms:W3CDTF">2026-09-29T02:12:49Z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